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app.xml" ContentType="application/vnd.openxmlformats-officedocument.extended-properties+xml"/>
  <Override PartName="/xl/comments3.xml" ContentType="application/vnd.openxmlformats-officedocument.spreadsheetml.comments+xml"/>
  <Override PartName="/xl/comments2.xml" ContentType="application/vnd.openxmlformats-officedocument.spreadsheetml.comments+xml"/>
  <Override PartName="/xl/comments1.xml" ContentType="application/vnd.openxmlformats-officedocument.spreadsheetml.comments+xml"/>
  <Override PartName="/xl/comments5.xml" ContentType="application/vnd.openxmlformats-officedocument.spreadsheetml.comment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66925"/>
  <mc:AlternateContent xmlns:mc="http://schemas.openxmlformats.org/markup-compatibility/2006">
    <mc:Choice Requires="x15">
      <x15ac:absPath xmlns:x15ac="http://schemas.microsoft.com/office/spreadsheetml/2010/11/ac" url="https://bakertilly-my.sharepoint.com/personal/deandra_fallon_bakertilly_com/Documents/Documents/Cost Reports/SNF/2022/12.31.22/North Hill/Footnotes/"/>
    </mc:Choice>
  </mc:AlternateContent>
  <xr:revisionPtr revIDLastSave="570" documentId="13_ncr:1_{B0471B1B-8B43-438E-8E0C-2E812AFB2479}" xr6:coauthVersionLast="47" xr6:coauthVersionMax="47" xr10:uidLastSave="{37755932-D42D-44E2-828A-CE21BA57E784}"/>
  <bookViews>
    <workbookView xWindow="28680" yWindow="-120" windowWidth="29040" windowHeight="15840" xr2:uid="{4A99FF38-B148-47C1-BB80-A02A13011DB3}"/>
  </bookViews>
  <sheets>
    <sheet name="Table 1" sheetId="1" r:id="rId1"/>
    <sheet name="CWUDFsStorage" sheetId="6" state="hidden" r:id="rId2"/>
    <sheet name="Table 2" sheetId="3" r:id="rId3"/>
    <sheet name="Table 3" sheetId="4" r:id="rId4"/>
    <sheet name="Table 4" sheetId="5" r:id="rId5"/>
    <sheet name="BT Summary - 10-72 Wages" sheetId="7" r:id="rId6"/>
    <sheet name="BT Allocation - 10-72 Wages" sheetId="8" r:id="rId7"/>
    <sheet name="Covid Exp 2022 Backup Reclass" sheetId="9" r:id="rId8"/>
    <sheet name="Utilities and RE Taxes Reclass" sheetId="10" r:id="rId9"/>
    <sheet name="Interest and Amortization Recla" sheetId="11" r:id="rId10"/>
    <sheet name="Professional Fees Reclass" sheetId="12" r:id="rId11"/>
  </sheets>
  <externalReferences>
    <externalReference r:id="rId1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28" i="12" l="1"/>
  <c r="M128" i="12"/>
  <c r="L128" i="12"/>
  <c r="K128" i="12"/>
  <c r="I128" i="12"/>
  <c r="H128" i="12"/>
  <c r="G128" i="12"/>
  <c r="F128" i="12"/>
  <c r="E128" i="12"/>
  <c r="D128" i="12"/>
  <c r="C128" i="12"/>
  <c r="O125" i="12"/>
  <c r="O124" i="12"/>
  <c r="J123" i="12"/>
  <c r="J128" i="12" s="1"/>
  <c r="O122" i="12"/>
  <c r="N116" i="12"/>
  <c r="M116" i="12"/>
  <c r="J116" i="12"/>
  <c r="I116" i="12"/>
  <c r="H116" i="12"/>
  <c r="F116" i="12"/>
  <c r="E116" i="12"/>
  <c r="O114" i="12"/>
  <c r="O113" i="12"/>
  <c r="O112" i="12"/>
  <c r="O111" i="12"/>
  <c r="O110" i="12"/>
  <c r="O109" i="12"/>
  <c r="O108" i="12"/>
  <c r="O107" i="12"/>
  <c r="G107" i="12"/>
  <c r="N106" i="12"/>
  <c r="L106" i="12"/>
  <c r="L116" i="12" s="1"/>
  <c r="K106" i="12"/>
  <c r="K116" i="12" s="1"/>
  <c r="G106" i="12"/>
  <c r="G116" i="12" s="1"/>
  <c r="D106" i="12"/>
  <c r="D116" i="12" s="1"/>
  <c r="C106" i="12"/>
  <c r="O106" i="12" s="1"/>
  <c r="O105" i="12"/>
  <c r="L98" i="12"/>
  <c r="K98" i="12"/>
  <c r="J98" i="12"/>
  <c r="I98" i="12"/>
  <c r="H98" i="12"/>
  <c r="G98" i="12"/>
  <c r="F98" i="12"/>
  <c r="E98" i="12"/>
  <c r="D98" i="12"/>
  <c r="C98" i="12"/>
  <c r="O96" i="12"/>
  <c r="O95" i="12"/>
  <c r="N94" i="12"/>
  <c r="O94" i="12" s="1"/>
  <c r="N93" i="12"/>
  <c r="N98" i="12" s="1"/>
  <c r="O92" i="12"/>
  <c r="O91" i="12"/>
  <c r="O90" i="12"/>
  <c r="O89" i="12"/>
  <c r="O88" i="12"/>
  <c r="O87" i="12"/>
  <c r="O86" i="12"/>
  <c r="O85" i="12"/>
  <c r="M84" i="12"/>
  <c r="M98" i="12" s="1"/>
  <c r="O83" i="12"/>
  <c r="O82" i="12"/>
  <c r="O81" i="12"/>
  <c r="P75" i="12"/>
  <c r="N75" i="12"/>
  <c r="M75" i="12"/>
  <c r="L75" i="12"/>
  <c r="K75" i="12"/>
  <c r="J75" i="12"/>
  <c r="I75" i="12"/>
  <c r="H75" i="12"/>
  <c r="G75" i="12"/>
  <c r="F75" i="12"/>
  <c r="E75" i="12"/>
  <c r="D75" i="12"/>
  <c r="C75" i="12"/>
  <c r="O73" i="12"/>
  <c r="O75" i="12" s="1"/>
  <c r="D73" i="12"/>
  <c r="P66" i="12"/>
  <c r="N66" i="12"/>
  <c r="M66" i="12"/>
  <c r="L66" i="12"/>
  <c r="J66" i="12"/>
  <c r="I66" i="12"/>
  <c r="H66" i="12"/>
  <c r="G66" i="12"/>
  <c r="F66" i="12"/>
  <c r="E66" i="12"/>
  <c r="D66" i="12"/>
  <c r="K62" i="12"/>
  <c r="K66" i="12" s="1"/>
  <c r="F62" i="12"/>
  <c r="D62" i="12"/>
  <c r="C62" i="12"/>
  <c r="C66" i="12" s="1"/>
  <c r="P56" i="12"/>
  <c r="O56" i="12"/>
  <c r="N56" i="12"/>
  <c r="M56" i="12"/>
  <c r="L56" i="12"/>
  <c r="K56" i="12"/>
  <c r="J56" i="12"/>
  <c r="I56" i="12"/>
  <c r="H56" i="12"/>
  <c r="G56" i="12"/>
  <c r="F56" i="12"/>
  <c r="E56" i="12"/>
  <c r="D56" i="12"/>
  <c r="C56" i="12"/>
  <c r="O54" i="12"/>
  <c r="O53" i="12"/>
  <c r="O52" i="12"/>
  <c r="O44" i="12"/>
  <c r="N44" i="12"/>
  <c r="M44" i="12"/>
  <c r="L44" i="12"/>
  <c r="K44" i="12"/>
  <c r="J44" i="12"/>
  <c r="I44" i="12"/>
  <c r="H44" i="12"/>
  <c r="G44" i="12"/>
  <c r="F44" i="12"/>
  <c r="E44" i="12"/>
  <c r="D44" i="12"/>
  <c r="C44" i="12"/>
  <c r="P41" i="12"/>
  <c r="O41" i="12"/>
  <c r="N33" i="12"/>
  <c r="J33" i="12"/>
  <c r="H33" i="12"/>
  <c r="G33" i="12"/>
  <c r="F33" i="12"/>
  <c r="D33" i="12"/>
  <c r="N29" i="12"/>
  <c r="M29" i="12"/>
  <c r="M33" i="12" s="1"/>
  <c r="L29" i="12"/>
  <c r="L33" i="12" s="1"/>
  <c r="K29" i="12"/>
  <c r="K33" i="12" s="1"/>
  <c r="J29" i="12"/>
  <c r="I29" i="12"/>
  <c r="I33" i="12" s="1"/>
  <c r="G29" i="12"/>
  <c r="F29" i="12"/>
  <c r="E29" i="12"/>
  <c r="E33" i="12" s="1"/>
  <c r="C29" i="12"/>
  <c r="O29" i="12" s="1"/>
  <c r="O33" i="12" s="1"/>
  <c r="G18" i="12"/>
  <c r="C18" i="12"/>
  <c r="J16" i="12"/>
  <c r="I16" i="12"/>
  <c r="G16" i="12"/>
  <c r="F16" i="12"/>
  <c r="F18" i="12" s="1"/>
  <c r="E16" i="12"/>
  <c r="E18" i="12" s="1"/>
  <c r="D16" i="12"/>
  <c r="O16" i="12" s="1"/>
  <c r="O15" i="12"/>
  <c r="M14" i="12"/>
  <c r="L14" i="12"/>
  <c r="O14" i="12" s="1"/>
  <c r="O23" i="12" s="1"/>
  <c r="O22" i="12"/>
  <c r="N13" i="12"/>
  <c r="M13" i="12"/>
  <c r="L13" i="12"/>
  <c r="K13" i="12"/>
  <c r="J13" i="12"/>
  <c r="I13" i="12"/>
  <c r="O13" i="12" s="1"/>
  <c r="O12" i="12"/>
  <c r="J12" i="12"/>
  <c r="I12" i="12"/>
  <c r="I11" i="12"/>
  <c r="O11" i="12" s="1"/>
  <c r="O10" i="12"/>
  <c r="N9" i="12"/>
  <c r="M9" i="12"/>
  <c r="L9" i="12"/>
  <c r="K9" i="12"/>
  <c r="J9" i="12"/>
  <c r="I9" i="12"/>
  <c r="H9" i="12"/>
  <c r="G9" i="12"/>
  <c r="F9" i="12"/>
  <c r="E9" i="12"/>
  <c r="D9" i="12"/>
  <c r="O9" i="12" s="1"/>
  <c r="O24" i="12" s="1"/>
  <c r="N8" i="12"/>
  <c r="M8" i="12"/>
  <c r="O8" i="12" s="1"/>
  <c r="O21" i="12" s="1"/>
  <c r="Q24" i="12" s="1"/>
  <c r="L8" i="12"/>
  <c r="K8" i="12"/>
  <c r="K18" i="12" s="1"/>
  <c r="J8" i="12"/>
  <c r="I8" i="12"/>
  <c r="I18" i="12" s="1"/>
  <c r="H8" i="12"/>
  <c r="H18" i="12" s="1"/>
  <c r="O7" i="12"/>
  <c r="N6" i="12"/>
  <c r="O6" i="12" s="1"/>
  <c r="L6" i="12"/>
  <c r="L18" i="12" s="1"/>
  <c r="J6" i="12"/>
  <c r="J18" i="12" s="1"/>
  <c r="F6" i="12"/>
  <c r="D6" i="12"/>
  <c r="D18" i="12" s="1"/>
  <c r="O116" i="12" l="1"/>
  <c r="O18" i="12"/>
  <c r="O20" i="12"/>
  <c r="M18" i="12"/>
  <c r="N18" i="12"/>
  <c r="C33" i="12"/>
  <c r="O123" i="12"/>
  <c r="O128" i="12" s="1"/>
  <c r="O84" i="12"/>
  <c r="O98" i="12" s="1"/>
  <c r="O62" i="12"/>
  <c r="O66" i="12" s="1"/>
  <c r="C116" i="12"/>
  <c r="O93" i="12"/>
  <c r="O25" i="12" l="1"/>
  <c r="B21" i="11" l="1"/>
  <c r="D20" i="11" s="1"/>
  <c r="D19" i="11"/>
  <c r="I19" i="11" s="1"/>
  <c r="D18" i="11"/>
  <c r="D21" i="11" s="1"/>
  <c r="B15" i="11"/>
  <c r="I13" i="11"/>
  <c r="D10" i="11"/>
  <c r="B7" i="11"/>
  <c r="D11" i="11" l="1"/>
  <c r="I11" i="11" s="1"/>
  <c r="D4" i="11"/>
  <c r="D5" i="11"/>
  <c r="I5" i="11" s="1"/>
  <c r="I22" i="11" s="1"/>
  <c r="D12" i="11" l="1"/>
  <c r="D15" i="11" s="1"/>
  <c r="D6" i="11"/>
  <c r="D7" i="11" s="1"/>
  <c r="C29" i="10" l="1"/>
  <c r="C30" i="10" s="1"/>
  <c r="O28" i="10"/>
  <c r="C23" i="10"/>
  <c r="I22" i="10" s="1"/>
  <c r="I21" i="10"/>
  <c r="K21" i="10" s="1"/>
  <c r="C18" i="10"/>
  <c r="I17" i="10" s="1"/>
  <c r="C13" i="10"/>
  <c r="I12" i="10"/>
  <c r="K11" i="10"/>
  <c r="I11" i="10"/>
  <c r="I10" i="10"/>
  <c r="I13" i="10" s="1"/>
  <c r="C7" i="10"/>
  <c r="I6" i="10"/>
  <c r="I5" i="10"/>
  <c r="K5" i="10" s="1"/>
  <c r="M5" i="10" s="1"/>
  <c r="I4" i="10"/>
  <c r="I7" i="10" s="1"/>
  <c r="K29" i="10" l="1"/>
  <c r="M29" i="10" s="1"/>
  <c r="I20" i="10"/>
  <c r="I23" i="10" s="1"/>
  <c r="I15" i="10"/>
  <c r="I18" i="10" s="1"/>
  <c r="I16" i="10"/>
  <c r="K16" i="10" s="1"/>
  <c r="O29" i="10" l="1"/>
  <c r="O32" i="10" s="1"/>
  <c r="M32" i="10"/>
  <c r="N16" i="9" l="1"/>
  <c r="M16" i="9"/>
  <c r="K16" i="9"/>
  <c r="J16" i="9"/>
  <c r="I16" i="9"/>
  <c r="H16" i="9"/>
  <c r="G16" i="9"/>
  <c r="E16" i="9"/>
  <c r="D16" i="9"/>
  <c r="C16" i="9"/>
  <c r="P16" i="9" s="1"/>
  <c r="N14" i="9"/>
  <c r="G14" i="9"/>
  <c r="F14" i="9"/>
  <c r="V13" i="9"/>
  <c r="M11" i="9"/>
  <c r="K11" i="9"/>
  <c r="J11" i="9"/>
  <c r="I11" i="9"/>
  <c r="P11" i="9" s="1"/>
  <c r="G11" i="9"/>
  <c r="F11" i="9"/>
  <c r="D11" i="9"/>
  <c r="C10" i="9"/>
  <c r="P10" i="9" s="1"/>
  <c r="V14" i="9" s="1"/>
  <c r="P9" i="9"/>
  <c r="P8" i="9"/>
  <c r="V11" i="9" s="1"/>
  <c r="P7" i="9"/>
  <c r="U6" i="9" s="1"/>
  <c r="N6" i="9"/>
  <c r="M6" i="9"/>
  <c r="L6" i="9"/>
  <c r="K6" i="9"/>
  <c r="J6" i="9"/>
  <c r="J14" i="9" s="1"/>
  <c r="I6" i="9"/>
  <c r="H6" i="9"/>
  <c r="G6" i="9"/>
  <c r="E6" i="9"/>
  <c r="D6" i="9"/>
  <c r="C6" i="9"/>
  <c r="P6" i="9" s="1"/>
  <c r="N5" i="9"/>
  <c r="M5" i="9"/>
  <c r="L5" i="9"/>
  <c r="F5" i="9"/>
  <c r="E5" i="9"/>
  <c r="P5" i="9" s="1"/>
  <c r="V12" i="9" s="1"/>
  <c r="D5" i="9"/>
  <c r="C5" i="9"/>
  <c r="N4" i="9"/>
  <c r="M4" i="9"/>
  <c r="M14" i="9" s="1"/>
  <c r="L4" i="9"/>
  <c r="L14" i="9" s="1"/>
  <c r="K4" i="9"/>
  <c r="K14" i="9" s="1"/>
  <c r="J4" i="9"/>
  <c r="I4" i="9"/>
  <c r="I14" i="9" s="1"/>
  <c r="H4" i="9"/>
  <c r="H14" i="9" s="1"/>
  <c r="G4" i="9"/>
  <c r="F4" i="9"/>
  <c r="E4" i="9"/>
  <c r="E14" i="9" s="1"/>
  <c r="D4" i="9"/>
  <c r="D14" i="9" s="1"/>
  <c r="C4" i="9"/>
  <c r="C14" i="9" s="1"/>
  <c r="P14" i="9" s="1"/>
  <c r="V15" i="9" l="1"/>
  <c r="U4" i="9"/>
  <c r="P4" i="9"/>
  <c r="U5" i="9" s="1"/>
  <c r="U7" i="9" l="1"/>
  <c r="F61" i="8" l="1"/>
  <c r="F59" i="8"/>
  <c r="F58" i="8"/>
  <c r="T52" i="8"/>
  <c r="S52" i="8"/>
  <c r="S50" i="8"/>
  <c r="R48" i="8"/>
  <c r="T35" i="8"/>
  <c r="S32" i="8"/>
  <c r="R30" i="8"/>
  <c r="AA22" i="8"/>
  <c r="T48" i="8" s="1"/>
  <c r="Z22" i="8"/>
  <c r="S48" i="8" s="1"/>
  <c r="Y22" i="8"/>
  <c r="T22" i="8"/>
  <c r="AA21" i="8"/>
  <c r="T36" i="8" s="1"/>
  <c r="Z21" i="8"/>
  <c r="S36" i="8" s="1"/>
  <c r="Y21" i="8"/>
  <c r="R36" i="8" s="1"/>
  <c r="AA20" i="8"/>
  <c r="Z20" i="8"/>
  <c r="Y20" i="8"/>
  <c r="R52" i="8" s="1"/>
  <c r="T20" i="8"/>
  <c r="F52" i="8" s="1"/>
  <c r="AA19" i="8"/>
  <c r="Z19" i="8"/>
  <c r="Y19" i="8"/>
  <c r="T19" i="8"/>
  <c r="AA18" i="8"/>
  <c r="Z18" i="8"/>
  <c r="S35" i="8" s="1"/>
  <c r="Y18" i="8"/>
  <c r="R35" i="8" s="1"/>
  <c r="T18" i="8"/>
  <c r="F35" i="8" s="1"/>
  <c r="AA17" i="8"/>
  <c r="T32" i="8" s="1"/>
  <c r="Z17" i="8"/>
  <c r="Y17" i="8"/>
  <c r="R32" i="8" s="1"/>
  <c r="AA16" i="8"/>
  <c r="Z16" i="8"/>
  <c r="Y16" i="8"/>
  <c r="T16" i="8"/>
  <c r="AA15" i="8"/>
  <c r="Z15" i="8"/>
  <c r="Y15" i="8"/>
  <c r="T15" i="8"/>
  <c r="F48" i="8" s="1"/>
  <c r="AA14" i="8"/>
  <c r="T50" i="8" s="1"/>
  <c r="Z14" i="8"/>
  <c r="Y14" i="8"/>
  <c r="R50" i="8" s="1"/>
  <c r="T14" i="8"/>
  <c r="F50" i="8" s="1"/>
  <c r="AA13" i="8"/>
  <c r="T38" i="8" s="1"/>
  <c r="Z13" i="8"/>
  <c r="S38" i="8" s="1"/>
  <c r="Y13" i="8"/>
  <c r="R38" i="8" s="1"/>
  <c r="AA12" i="8"/>
  <c r="T44" i="8" s="1"/>
  <c r="Z12" i="8"/>
  <c r="Y12" i="8"/>
  <c r="T12" i="8"/>
  <c r="AA11" i="8"/>
  <c r="T30" i="8" s="1"/>
  <c r="Z11" i="8"/>
  <c r="S30" i="8" s="1"/>
  <c r="Y11" i="8"/>
  <c r="T11" i="8"/>
  <c r="F30" i="8" s="1"/>
  <c r="AA10" i="8"/>
  <c r="Z10" i="8"/>
  <c r="Y10" i="8"/>
  <c r="T10" i="8"/>
  <c r="AA9" i="8"/>
  <c r="T40" i="8" s="1"/>
  <c r="Z9" i="8"/>
  <c r="S40" i="8" s="1"/>
  <c r="Y9" i="8"/>
  <c r="R40" i="8" s="1"/>
  <c r="AA8" i="8"/>
  <c r="Z8" i="8"/>
  <c r="Y8" i="8"/>
  <c r="T8" i="8"/>
  <c r="AA7" i="8"/>
  <c r="Z7" i="8"/>
  <c r="S44" i="8" s="1"/>
  <c r="Y7" i="8"/>
  <c r="T7" i="8"/>
  <c r="AA6" i="8"/>
  <c r="AA23" i="8" s="1"/>
  <c r="Z6" i="8"/>
  <c r="Y6" i="8"/>
  <c r="Y23" i="8" s="1"/>
  <c r="T6" i="8"/>
  <c r="S23" i="8"/>
  <c r="AB17" i="8" s="1"/>
  <c r="U32" i="8" s="1"/>
  <c r="D24" i="7"/>
  <c r="C24" i="7"/>
  <c r="AB14" i="8" l="1"/>
  <c r="U50" i="8" s="1"/>
  <c r="AB10" i="8"/>
  <c r="K32" i="8"/>
  <c r="K50" i="8"/>
  <c r="I12" i="7" s="1"/>
  <c r="C48" i="8"/>
  <c r="C62" i="8"/>
  <c r="I48" i="8"/>
  <c r="H11" i="7" s="1"/>
  <c r="I50" i="8"/>
  <c r="H12" i="7" s="1"/>
  <c r="I52" i="8"/>
  <c r="I36" i="8"/>
  <c r="H7" i="7" s="1"/>
  <c r="I38" i="8"/>
  <c r="H8" i="7" s="1"/>
  <c r="I40" i="8"/>
  <c r="H9" i="7" s="1"/>
  <c r="I30" i="8"/>
  <c r="H5" i="7" s="1"/>
  <c r="I32" i="8"/>
  <c r="I35" i="8"/>
  <c r="C76" i="8"/>
  <c r="L38" i="8"/>
  <c r="L40" i="8"/>
  <c r="L30" i="8"/>
  <c r="L32" i="8"/>
  <c r="L44" i="8"/>
  <c r="L36" i="8"/>
  <c r="L35" i="8"/>
  <c r="L48" i="8"/>
  <c r="L52" i="8"/>
  <c r="L50" i="8"/>
  <c r="C44" i="8"/>
  <c r="J50" i="8"/>
  <c r="J52" i="8"/>
  <c r="J44" i="8"/>
  <c r="J36" i="8"/>
  <c r="J38" i="8"/>
  <c r="J40" i="8"/>
  <c r="J48" i="8"/>
  <c r="J30" i="8"/>
  <c r="J32" i="8"/>
  <c r="J35" i="8"/>
  <c r="C80" i="8"/>
  <c r="AB18" i="8"/>
  <c r="U35" i="8" s="1"/>
  <c r="K35" i="8" s="1"/>
  <c r="AB22" i="8"/>
  <c r="AB9" i="8"/>
  <c r="U40" i="8" s="1"/>
  <c r="K40" i="8" s="1"/>
  <c r="I9" i="7" s="1"/>
  <c r="AB13" i="8"/>
  <c r="U38" i="8" s="1"/>
  <c r="K38" i="8" s="1"/>
  <c r="I8" i="7" s="1"/>
  <c r="S54" i="8"/>
  <c r="T54" i="8"/>
  <c r="AB20" i="8"/>
  <c r="U52" i="8" s="1"/>
  <c r="AB16" i="8"/>
  <c r="F60" i="8"/>
  <c r="F62" i="8" s="1"/>
  <c r="AB12" i="8"/>
  <c r="AB8" i="8"/>
  <c r="AB21" i="8"/>
  <c r="U36" i="8" s="1"/>
  <c r="K36" i="8" s="1"/>
  <c r="I7" i="7" s="1"/>
  <c r="Z23" i="8"/>
  <c r="AB7" i="8"/>
  <c r="T9" i="8"/>
  <c r="F40" i="8" s="1"/>
  <c r="AB11" i="8"/>
  <c r="U30" i="8" s="1"/>
  <c r="K30" i="8" s="1"/>
  <c r="I5" i="7" s="1"/>
  <c r="T13" i="8"/>
  <c r="F38" i="8" s="1"/>
  <c r="AB15" i="8"/>
  <c r="T17" i="8"/>
  <c r="F32" i="8" s="1"/>
  <c r="AB19" i="8"/>
  <c r="T21" i="8"/>
  <c r="F36" i="8" s="1"/>
  <c r="F44" i="8"/>
  <c r="R44" i="8"/>
  <c r="I44" i="8" s="1"/>
  <c r="H10" i="7" s="1"/>
  <c r="AB6" i="8"/>
  <c r="U48" i="8" l="1"/>
  <c r="K48" i="8" s="1"/>
  <c r="I11" i="7" s="1"/>
  <c r="C54" i="8"/>
  <c r="C64" i="8" s="1"/>
  <c r="H13" i="7"/>
  <c r="I54" i="8"/>
  <c r="R54" i="8"/>
  <c r="T23" i="8"/>
  <c r="E44" i="8"/>
  <c r="H6" i="7"/>
  <c r="J54" i="8"/>
  <c r="F54" i="8"/>
  <c r="U44" i="8"/>
  <c r="K44" i="8" s="1"/>
  <c r="I10" i="7" s="1"/>
  <c r="AB23" i="8"/>
  <c r="K52" i="8"/>
  <c r="I6" i="7"/>
  <c r="L54" i="8"/>
  <c r="H44" i="8" l="1"/>
  <c r="G10" i="7" s="1"/>
  <c r="J10" i="7" s="1"/>
  <c r="F64" i="8"/>
  <c r="E35" i="8"/>
  <c r="H35" i="8" s="1"/>
  <c r="N35" i="8" s="1"/>
  <c r="E50" i="8"/>
  <c r="H50" i="8" s="1"/>
  <c r="E48" i="8"/>
  <c r="H48" i="8" s="1"/>
  <c r="E52" i="8"/>
  <c r="H52" i="8" s="1"/>
  <c r="E30" i="8"/>
  <c r="H30" i="8" s="1"/>
  <c r="E38" i="8"/>
  <c r="H38" i="8" s="1"/>
  <c r="E40" i="8"/>
  <c r="H40" i="8" s="1"/>
  <c r="T26" i="8"/>
  <c r="T24" i="8"/>
  <c r="E32" i="8"/>
  <c r="H32" i="8" s="1"/>
  <c r="I13" i="7"/>
  <c r="K54" i="8"/>
  <c r="E36" i="8"/>
  <c r="H36" i="8" s="1"/>
  <c r="U54" i="8"/>
  <c r="N44" i="8" l="1"/>
  <c r="B10" i="7" s="1"/>
  <c r="N36" i="8"/>
  <c r="G7" i="7"/>
  <c r="J7" i="7" s="1"/>
  <c r="N30" i="8"/>
  <c r="G5" i="7"/>
  <c r="J5" i="7" s="1"/>
  <c r="G13" i="7"/>
  <c r="J13" i="7" s="1"/>
  <c r="H54" i="8"/>
  <c r="N52" i="8"/>
  <c r="G11" i="7"/>
  <c r="J11" i="7" s="1"/>
  <c r="N48" i="8"/>
  <c r="N32" i="8"/>
  <c r="G6" i="7"/>
  <c r="J6" i="7" s="1"/>
  <c r="G12" i="7"/>
  <c r="J12" i="7" s="1"/>
  <c r="N50" i="8"/>
  <c r="N38" i="8"/>
  <c r="G8" i="7"/>
  <c r="J8" i="7" s="1"/>
  <c r="N40" i="8"/>
  <c r="G9" i="7"/>
  <c r="J9" i="7" s="1"/>
  <c r="B12" i="7" l="1"/>
  <c r="B5" i="7"/>
  <c r="N54" i="8"/>
  <c r="O30" i="8" s="1"/>
  <c r="B85" i="8" s="1"/>
  <c r="B13" i="7"/>
  <c r="B25" i="7" s="1"/>
  <c r="B8" i="7"/>
  <c r="B6" i="7"/>
  <c r="B9" i="7"/>
  <c r="B11" i="7"/>
  <c r="B7" i="7"/>
  <c r="B14" i="7" l="1"/>
  <c r="C85" i="8"/>
  <c r="D85" i="8"/>
  <c r="O52" i="8"/>
  <c r="B93" i="8" s="1"/>
  <c r="O48" i="8"/>
  <c r="B91" i="8" s="1"/>
  <c r="O32" i="8"/>
  <c r="O44" i="8"/>
  <c r="B90" i="8" s="1"/>
  <c r="O35" i="8"/>
  <c r="O40" i="8"/>
  <c r="B89" i="8" s="1"/>
  <c r="O36" i="8"/>
  <c r="B87" i="8" s="1"/>
  <c r="O38" i="8"/>
  <c r="B88" i="8" s="1"/>
  <c r="O50" i="8"/>
  <c r="B92" i="8" s="1"/>
  <c r="B86" i="8" l="1"/>
  <c r="C86" i="8" s="1"/>
  <c r="C6" i="7" s="1"/>
  <c r="C89" i="8"/>
  <c r="C9" i="7" s="1"/>
  <c r="D89" i="8"/>
  <c r="D9" i="7" s="1"/>
  <c r="C90" i="8"/>
  <c r="C10" i="7" s="1"/>
  <c r="D90" i="8"/>
  <c r="D10" i="7" s="1"/>
  <c r="C93" i="8"/>
  <c r="C13" i="7" s="1"/>
  <c r="C25" i="7" s="1"/>
  <c r="D93" i="8"/>
  <c r="D13" i="7" s="1"/>
  <c r="D25" i="7" s="1"/>
  <c r="C92" i="8"/>
  <c r="C12" i="7" s="1"/>
  <c r="D92" i="8"/>
  <c r="D12" i="7" s="1"/>
  <c r="C88" i="8"/>
  <c r="C8" i="7" s="1"/>
  <c r="D88" i="8"/>
  <c r="D8" i="7" s="1"/>
  <c r="D5" i="7"/>
  <c r="C91" i="8"/>
  <c r="C11" i="7" s="1"/>
  <c r="D91" i="8"/>
  <c r="D11" i="7" s="1"/>
  <c r="C87" i="8"/>
  <c r="C7" i="7" s="1"/>
  <c r="D87" i="8"/>
  <c r="D7" i="7" s="1"/>
  <c r="C5" i="7"/>
  <c r="C14" i="7" l="1"/>
  <c r="C94" i="8"/>
  <c r="D86" i="8"/>
  <c r="D6" i="7" l="1"/>
  <c r="D14" i="7" s="1"/>
  <c r="D94" i="8"/>
  <c r="D63" i="3" l="1"/>
  <c r="D19" i="1"/>
  <c r="D73" i="3"/>
  <c r="D33" i="3" s="1"/>
  <c r="D70" i="3"/>
  <c r="G89" i="4"/>
  <c r="G90" i="4"/>
  <c r="G88" i="4"/>
  <c r="E90" i="4"/>
  <c r="E89" i="4"/>
  <c r="E88" i="4"/>
  <c r="G20" i="4"/>
  <c r="E20" i="4"/>
  <c r="D125" i="4"/>
  <c r="F32" i="3"/>
  <c r="D74" i="4" l="1"/>
  <c r="D17" i="1"/>
  <c r="D60" i="4"/>
  <c r="D7" i="1"/>
  <c r="E7" i="1" s="1"/>
  <c r="D7" i="3"/>
  <c r="D13" i="3" s="1"/>
  <c r="D29" i="1"/>
  <c r="D72" i="4"/>
  <c r="D16" i="1"/>
  <c r="D22" i="1"/>
  <c r="D15" i="1"/>
  <c r="D54" i="4"/>
  <c r="D58" i="4" s="1"/>
  <c r="D73" i="4"/>
  <c r="E68" i="3"/>
  <c r="E69" i="3"/>
  <c r="E60" i="3"/>
  <c r="E63" i="3"/>
  <c r="E70" i="3"/>
  <c r="E18" i="4"/>
  <c r="G18" i="4" s="1"/>
  <c r="E87" i="4"/>
  <c r="G87" i="4" s="1"/>
  <c r="E19" i="4"/>
  <c r="G19" i="4" s="1"/>
  <c r="E43" i="4"/>
  <c r="G43" i="4" s="1"/>
  <c r="E97" i="4"/>
  <c r="G97" i="4" s="1"/>
  <c r="E98" i="4"/>
  <c r="G98" i="4" s="1"/>
  <c r="C23" i="5"/>
  <c r="E21" i="5"/>
  <c r="G21" i="5" s="1"/>
  <c r="E19" i="5"/>
  <c r="G19" i="5" s="1"/>
  <c r="E17" i="5"/>
  <c r="G17" i="5" s="1"/>
  <c r="E15" i="5"/>
  <c r="G15" i="5" s="1"/>
  <c r="E13" i="5"/>
  <c r="G13" i="5" s="1"/>
  <c r="F28" i="5"/>
  <c r="D28" i="5"/>
  <c r="D23" i="5"/>
  <c r="D29" i="5" s="1"/>
  <c r="E22" i="5"/>
  <c r="G22" i="5" s="1"/>
  <c r="E11" i="5"/>
  <c r="G11" i="5" s="1"/>
  <c r="E10" i="5"/>
  <c r="G10" i="5" s="1"/>
  <c r="G124" i="4"/>
  <c r="G121" i="4"/>
  <c r="G117" i="4"/>
  <c r="E130" i="4"/>
  <c r="G130" i="4" s="1"/>
  <c r="E129" i="4"/>
  <c r="G129" i="4" s="1"/>
  <c r="E124" i="4"/>
  <c r="E123" i="4"/>
  <c r="G123" i="4" s="1"/>
  <c r="E122" i="4"/>
  <c r="G122" i="4" s="1"/>
  <c r="E121" i="4"/>
  <c r="E120" i="4"/>
  <c r="G120" i="4" s="1"/>
  <c r="E119" i="4"/>
  <c r="G119" i="4" s="1"/>
  <c r="E117" i="4"/>
  <c r="G139" i="4"/>
  <c r="F139" i="4"/>
  <c r="E139" i="4"/>
  <c r="D139" i="4"/>
  <c r="C139" i="4"/>
  <c r="D132" i="4"/>
  <c r="E131" i="4"/>
  <c r="G131" i="4" s="1"/>
  <c r="E116" i="4"/>
  <c r="G116" i="4" s="1"/>
  <c r="E115" i="4"/>
  <c r="G115" i="4" s="1"/>
  <c r="E114" i="4"/>
  <c r="F112" i="4"/>
  <c r="D112" i="4"/>
  <c r="C112" i="4"/>
  <c r="E110" i="4"/>
  <c r="G110" i="4" s="1"/>
  <c r="E109" i="4"/>
  <c r="G109" i="4" s="1"/>
  <c r="E108" i="4"/>
  <c r="G108" i="4" s="1"/>
  <c r="F106" i="4"/>
  <c r="D106" i="4"/>
  <c r="F100" i="4"/>
  <c r="D100" i="4"/>
  <c r="F92" i="4"/>
  <c r="D92" i="4"/>
  <c r="E91" i="4"/>
  <c r="E86" i="4"/>
  <c r="G86" i="4" s="1"/>
  <c r="E85" i="4"/>
  <c r="G85" i="4" s="1"/>
  <c r="E84" i="4"/>
  <c r="G84" i="4" s="1"/>
  <c r="F82" i="4"/>
  <c r="D82" i="4"/>
  <c r="F76" i="4"/>
  <c r="F70" i="4"/>
  <c r="D70" i="4"/>
  <c r="E69" i="4"/>
  <c r="G69" i="4" s="1"/>
  <c r="F64" i="4"/>
  <c r="D64" i="4"/>
  <c r="E63" i="4"/>
  <c r="G63" i="4" s="1"/>
  <c r="F58" i="4"/>
  <c r="F52" i="4"/>
  <c r="D52" i="4"/>
  <c r="F45" i="4"/>
  <c r="D45" i="4"/>
  <c r="F36" i="4"/>
  <c r="D36" i="4"/>
  <c r="F21" i="4"/>
  <c r="D21" i="4"/>
  <c r="F28" i="4"/>
  <c r="D28" i="4"/>
  <c r="E27" i="4"/>
  <c r="G27" i="4" s="1"/>
  <c r="F11" i="4"/>
  <c r="D11" i="4"/>
  <c r="E10" i="4"/>
  <c r="G10" i="4" s="1"/>
  <c r="C52" i="3"/>
  <c r="C44" i="3"/>
  <c r="E37" i="3"/>
  <c r="G37" i="3" s="1"/>
  <c r="E36" i="3"/>
  <c r="G36" i="3" s="1"/>
  <c r="E35" i="3"/>
  <c r="G35" i="3" s="1"/>
  <c r="E34" i="3"/>
  <c r="G34" i="3" s="1"/>
  <c r="E31" i="3"/>
  <c r="G31" i="3" s="1"/>
  <c r="F44" i="3"/>
  <c r="D44" i="3"/>
  <c r="D39" i="3"/>
  <c r="E38" i="3"/>
  <c r="G38" i="3" s="1"/>
  <c r="E24" i="3"/>
  <c r="G24" i="3" s="1"/>
  <c r="F19" i="3"/>
  <c r="D19" i="3"/>
  <c r="F13" i="3"/>
  <c r="E12" i="3"/>
  <c r="G12" i="3" s="1"/>
  <c r="E11" i="3"/>
  <c r="G11" i="3" s="1"/>
  <c r="F47" i="1"/>
  <c r="G46" i="1"/>
  <c r="F46" i="1"/>
  <c r="E46" i="1"/>
  <c r="D46" i="1"/>
  <c r="C46" i="1"/>
  <c r="F41" i="1"/>
  <c r="G40" i="1"/>
  <c r="F40" i="1"/>
  <c r="E40" i="1"/>
  <c r="D40" i="1"/>
  <c r="C40" i="1"/>
  <c r="G33" i="1"/>
  <c r="E33" i="1"/>
  <c r="E32" i="1"/>
  <c r="G32" i="1" s="1"/>
  <c r="F34" i="1"/>
  <c r="D34" i="1"/>
  <c r="G25" i="1"/>
  <c r="E26" i="1"/>
  <c r="G26" i="1" s="1"/>
  <c r="E25" i="1"/>
  <c r="F27" i="1"/>
  <c r="D27" i="1"/>
  <c r="E19" i="1"/>
  <c r="G19" i="1" s="1"/>
  <c r="E18" i="1"/>
  <c r="G18" i="1" s="1"/>
  <c r="G12" i="1"/>
  <c r="E12" i="1"/>
  <c r="E11" i="1"/>
  <c r="G11" i="1" s="1"/>
  <c r="E10" i="1"/>
  <c r="G10" i="1" s="1"/>
  <c r="F20" i="1"/>
  <c r="F13" i="1"/>
  <c r="D20" i="1" l="1"/>
  <c r="D76" i="4"/>
  <c r="D133" i="4" s="1"/>
  <c r="D140" i="4" s="1"/>
  <c r="D13" i="1"/>
  <c r="D41" i="1" s="1"/>
  <c r="D47" i="1" s="1"/>
  <c r="E73" i="3"/>
  <c r="E76" i="3"/>
  <c r="E75" i="3"/>
  <c r="E20" i="5"/>
  <c r="E18" i="5"/>
  <c r="G18" i="5" s="1"/>
  <c r="E16" i="5"/>
  <c r="G16" i="5" s="1"/>
  <c r="E14" i="5"/>
  <c r="G14" i="5" s="1"/>
  <c r="E12" i="5"/>
  <c r="G12" i="5" s="1"/>
  <c r="C29" i="5"/>
  <c r="E7" i="5"/>
  <c r="E9" i="5"/>
  <c r="G9" i="5" s="1"/>
  <c r="E8" i="5"/>
  <c r="G8" i="5" s="1"/>
  <c r="E27" i="5"/>
  <c r="G27" i="5" s="1"/>
  <c r="E26" i="5"/>
  <c r="C28" i="5"/>
  <c r="E118" i="4"/>
  <c r="G118" i="4" s="1"/>
  <c r="E125" i="4"/>
  <c r="G125" i="4" s="1"/>
  <c r="E126" i="4"/>
  <c r="E127" i="4"/>
  <c r="F127" i="4" s="1"/>
  <c r="G127" i="4" s="1"/>
  <c r="E128" i="4"/>
  <c r="G128" i="4" s="1"/>
  <c r="G112" i="4"/>
  <c r="G114" i="4"/>
  <c r="C132" i="4"/>
  <c r="E112" i="4"/>
  <c r="E103" i="4"/>
  <c r="G103" i="4" s="1"/>
  <c r="E104" i="4"/>
  <c r="G104" i="4" s="1"/>
  <c r="E102" i="4"/>
  <c r="C106" i="4"/>
  <c r="E96" i="4"/>
  <c r="G96" i="4" s="1"/>
  <c r="E95" i="4"/>
  <c r="G95" i="4" s="1"/>
  <c r="E99" i="4"/>
  <c r="G99" i="4" s="1"/>
  <c r="E94" i="4"/>
  <c r="G94" i="4" s="1"/>
  <c r="C100" i="4"/>
  <c r="C92" i="4"/>
  <c r="E92" i="4"/>
  <c r="G91" i="4"/>
  <c r="G92" i="4" s="1"/>
  <c r="E81" i="4"/>
  <c r="G81" i="4" s="1"/>
  <c r="E79" i="4"/>
  <c r="G79" i="4" s="1"/>
  <c r="E80" i="4"/>
  <c r="G80" i="4" s="1"/>
  <c r="C82" i="4"/>
  <c r="E78" i="4"/>
  <c r="E75" i="4"/>
  <c r="G75" i="4" s="1"/>
  <c r="E73" i="4"/>
  <c r="G73" i="4" s="1"/>
  <c r="E74" i="4"/>
  <c r="G74" i="4" s="1"/>
  <c r="E68" i="4"/>
  <c r="G68" i="4" s="1"/>
  <c r="C70" i="4"/>
  <c r="E66" i="4"/>
  <c r="E67" i="4"/>
  <c r="G67" i="4" s="1"/>
  <c r="E61" i="4"/>
  <c r="G61" i="4" s="1"/>
  <c r="E60" i="4"/>
  <c r="E56" i="4"/>
  <c r="G56" i="4" s="1"/>
  <c r="E55" i="4"/>
  <c r="G55" i="4" s="1"/>
  <c r="E57" i="4"/>
  <c r="G57" i="4" s="1"/>
  <c r="E54" i="4"/>
  <c r="G54" i="4" s="1"/>
  <c r="C58" i="4"/>
  <c r="E49" i="4"/>
  <c r="G49" i="4" s="1"/>
  <c r="C52" i="4"/>
  <c r="E47" i="4"/>
  <c r="E50" i="4"/>
  <c r="G50" i="4" s="1"/>
  <c r="E48" i="4"/>
  <c r="G48" i="4" s="1"/>
  <c r="E51" i="4"/>
  <c r="G51" i="4" s="1"/>
  <c r="E26" i="4"/>
  <c r="G26" i="4" s="1"/>
  <c r="E40" i="4"/>
  <c r="G40" i="4" s="1"/>
  <c r="E44" i="4"/>
  <c r="G44" i="4" s="1"/>
  <c r="E38" i="4"/>
  <c r="E41" i="4"/>
  <c r="G41" i="4" s="1"/>
  <c r="E42" i="4"/>
  <c r="G42" i="4" s="1"/>
  <c r="C21" i="4"/>
  <c r="E35" i="4"/>
  <c r="G35" i="4" s="1"/>
  <c r="E34" i="4"/>
  <c r="G34" i="4" s="1"/>
  <c r="E33" i="4"/>
  <c r="G33" i="4" s="1"/>
  <c r="C36" i="4"/>
  <c r="E17" i="4"/>
  <c r="G17" i="4" s="1"/>
  <c r="E16" i="4"/>
  <c r="G16" i="4" s="1"/>
  <c r="C28" i="4"/>
  <c r="E23" i="4"/>
  <c r="E14" i="4"/>
  <c r="G14" i="4" s="1"/>
  <c r="E30" i="4"/>
  <c r="E24" i="4"/>
  <c r="G24" i="4" s="1"/>
  <c r="E15" i="4"/>
  <c r="G15" i="4" s="1"/>
  <c r="E9" i="4"/>
  <c r="G9" i="4" s="1"/>
  <c r="E32" i="4"/>
  <c r="G32" i="4" s="1"/>
  <c r="E8" i="4"/>
  <c r="G8" i="4" s="1"/>
  <c r="E31" i="4"/>
  <c r="G31" i="4" s="1"/>
  <c r="E13" i="4"/>
  <c r="E25" i="4"/>
  <c r="G25" i="4" s="1"/>
  <c r="E7" i="4"/>
  <c r="C11" i="4"/>
  <c r="C73" i="3"/>
  <c r="C33" i="3" s="1"/>
  <c r="C39" i="3" s="1"/>
  <c r="D40" i="3"/>
  <c r="E32" i="3"/>
  <c r="G32" i="3" s="1"/>
  <c r="E30" i="3"/>
  <c r="G30" i="3" s="1"/>
  <c r="E29" i="3"/>
  <c r="G29" i="3" s="1"/>
  <c r="E28" i="3"/>
  <c r="G28" i="3" s="1"/>
  <c r="E27" i="3"/>
  <c r="G27" i="3" s="1"/>
  <c r="E26" i="3"/>
  <c r="G26" i="3" s="1"/>
  <c r="E25" i="3"/>
  <c r="G25" i="3" s="1"/>
  <c r="E18" i="3"/>
  <c r="G18" i="3" s="1"/>
  <c r="E10" i="3"/>
  <c r="G10" i="3" s="1"/>
  <c r="E9" i="3"/>
  <c r="G9" i="3" s="1"/>
  <c r="E16" i="3"/>
  <c r="G16" i="3" s="1"/>
  <c r="C13" i="3"/>
  <c r="E7" i="3"/>
  <c r="E22" i="3"/>
  <c r="G22" i="3" s="1"/>
  <c r="E43" i="3"/>
  <c r="E17" i="3"/>
  <c r="G17" i="3" s="1"/>
  <c r="E21" i="3"/>
  <c r="E8" i="3"/>
  <c r="G8" i="3" s="1"/>
  <c r="E23" i="3"/>
  <c r="G23" i="3" s="1"/>
  <c r="E15" i="3"/>
  <c r="C19" i="3"/>
  <c r="E8" i="1"/>
  <c r="G8" i="1" s="1"/>
  <c r="E9" i="1"/>
  <c r="G9" i="1" s="1"/>
  <c r="E31" i="1"/>
  <c r="G31" i="1" s="1"/>
  <c r="E30" i="1"/>
  <c r="G30" i="1" s="1"/>
  <c r="E29" i="1"/>
  <c r="C34" i="1"/>
  <c r="E24" i="1"/>
  <c r="G24" i="1" s="1"/>
  <c r="E23" i="1"/>
  <c r="G23" i="1" s="1"/>
  <c r="E22" i="1"/>
  <c r="C27" i="1"/>
  <c r="E17" i="1"/>
  <c r="G17" i="1" s="1"/>
  <c r="E16" i="1"/>
  <c r="G16" i="1" s="1"/>
  <c r="C20" i="1"/>
  <c r="E15" i="1"/>
  <c r="C13" i="1"/>
  <c r="D34" i="5" l="1"/>
  <c r="C40" i="3"/>
  <c r="C41" i="1"/>
  <c r="D45" i="3"/>
  <c r="D38" i="5" s="1"/>
  <c r="F23" i="5"/>
  <c r="G26" i="5"/>
  <c r="G28" i="5" s="1"/>
  <c r="E28" i="5"/>
  <c r="G7" i="5"/>
  <c r="E23" i="5"/>
  <c r="E29" i="5" s="1"/>
  <c r="E132" i="4"/>
  <c r="F126" i="4"/>
  <c r="F132" i="4" s="1"/>
  <c r="F133" i="4" s="1"/>
  <c r="F140" i="4" s="1"/>
  <c r="E106" i="4"/>
  <c r="G102" i="4"/>
  <c r="G106" i="4" s="1"/>
  <c r="E100" i="4"/>
  <c r="G100" i="4"/>
  <c r="E82" i="4"/>
  <c r="G78" i="4"/>
  <c r="G82" i="4" s="1"/>
  <c r="G66" i="4"/>
  <c r="G70" i="4" s="1"/>
  <c r="E70" i="4"/>
  <c r="G60" i="4"/>
  <c r="G58" i="4"/>
  <c r="E58" i="4"/>
  <c r="E52" i="4"/>
  <c r="G47" i="4"/>
  <c r="G52" i="4" s="1"/>
  <c r="G38" i="4"/>
  <c r="E36" i="4"/>
  <c r="E21" i="4"/>
  <c r="G7" i="4"/>
  <c r="G11" i="4" s="1"/>
  <c r="E11" i="4"/>
  <c r="G30" i="4"/>
  <c r="G36" i="4" s="1"/>
  <c r="G13" i="4"/>
  <c r="G21" i="4" s="1"/>
  <c r="E28" i="4"/>
  <c r="G23" i="4"/>
  <c r="G28" i="4" s="1"/>
  <c r="E33" i="3"/>
  <c r="G43" i="3"/>
  <c r="G44" i="3" s="1"/>
  <c r="E44" i="3"/>
  <c r="E19" i="3"/>
  <c r="G15" i="3"/>
  <c r="G19" i="3" s="1"/>
  <c r="G7" i="3"/>
  <c r="G13" i="3" s="1"/>
  <c r="E13" i="3"/>
  <c r="G21" i="3"/>
  <c r="E13" i="1"/>
  <c r="G7" i="1"/>
  <c r="G13" i="1" s="1"/>
  <c r="E34" i="1"/>
  <c r="G29" i="1"/>
  <c r="G34" i="1" s="1"/>
  <c r="E27" i="1"/>
  <c r="G22" i="1"/>
  <c r="G27" i="1" s="1"/>
  <c r="G15" i="1"/>
  <c r="G20" i="1" s="1"/>
  <c r="E20" i="1"/>
  <c r="E41" i="1" l="1"/>
  <c r="E47" i="1" s="1"/>
  <c r="F33" i="3"/>
  <c r="F39" i="3" s="1"/>
  <c r="F40" i="3" s="1"/>
  <c r="F34" i="5" s="1"/>
  <c r="G41" i="1"/>
  <c r="G47" i="1" s="1"/>
  <c r="G126" i="4"/>
  <c r="G132" i="4" s="1"/>
  <c r="C47" i="1"/>
  <c r="E39" i="3"/>
  <c r="E40" i="3" s="1"/>
  <c r="C45" i="3"/>
  <c r="F29" i="5"/>
  <c r="G20" i="5"/>
  <c r="G23" i="5" s="1"/>
  <c r="E39" i="4"/>
  <c r="G39" i="4" s="1"/>
  <c r="G45" i="4" s="1"/>
  <c r="C45" i="4"/>
  <c r="F45" i="3" l="1"/>
  <c r="F38" i="5" s="1"/>
  <c r="G33" i="3"/>
  <c r="G39" i="3" s="1"/>
  <c r="G40" i="3" s="1"/>
  <c r="G45" i="3" s="1"/>
  <c r="E45" i="3"/>
  <c r="G29" i="5"/>
  <c r="E45" i="4"/>
  <c r="E62" i="4"/>
  <c r="G62" i="4" s="1"/>
  <c r="G64" i="4" s="1"/>
  <c r="C64" i="4"/>
  <c r="E64" i="4" l="1"/>
  <c r="E72" i="4"/>
  <c r="G72" i="4" s="1"/>
  <c r="G76" i="4" s="1"/>
  <c r="G133" i="4" s="1"/>
  <c r="G34" i="5" s="1"/>
  <c r="C76" i="4"/>
  <c r="C133" i="4" l="1"/>
  <c r="C34" i="5" s="1"/>
  <c r="G140" i="4"/>
  <c r="G38" i="5" s="1"/>
  <c r="E76" i="4"/>
  <c r="E133" i="4" s="1"/>
  <c r="E34" i="5" s="1"/>
  <c r="C140" i="4" l="1"/>
  <c r="C38" i="5" s="1"/>
  <c r="E140" i="4"/>
  <c r="E38"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Pattillo, Chelsea</author>
  </authors>
  <commentList>
    <comment ref="D7" authorId="0" shapeId="0" xr:uid="{5BD99565-1373-4703-86F2-E73392DF2E80}">
      <text>
        <r>
          <rPr>
            <b/>
            <sz val="9"/>
            <color indexed="81"/>
            <rFont val="Tahoma"/>
            <charset val="1"/>
          </rPr>
          <t>Pattillo, Chelsea:</t>
        </r>
        <r>
          <rPr>
            <sz val="9"/>
            <color indexed="81"/>
            <rFont val="Tahoma"/>
            <charset val="1"/>
          </rPr>
          <t xml:space="preserve">
w/p 03.04
</t>
        </r>
      </text>
    </comment>
    <comment ref="D15" authorId="0" shapeId="0" xr:uid="{607F356E-3C01-406A-BC8A-E3E3A573E46A}">
      <text>
        <r>
          <rPr>
            <b/>
            <sz val="9"/>
            <color indexed="81"/>
            <rFont val="Tahoma"/>
            <charset val="1"/>
          </rPr>
          <t>Pattillo, Chelsea:</t>
        </r>
        <r>
          <rPr>
            <sz val="9"/>
            <color indexed="81"/>
            <rFont val="Tahoma"/>
            <charset val="1"/>
          </rPr>
          <t xml:space="preserve">
w/p 03.04
</t>
        </r>
      </text>
    </comment>
    <comment ref="D22" authorId="0" shapeId="0" xr:uid="{FE041F6C-211B-4791-9B25-CC53EF0069DF}">
      <text>
        <r>
          <rPr>
            <b/>
            <sz val="9"/>
            <color indexed="81"/>
            <rFont val="Tahoma"/>
            <charset val="1"/>
          </rPr>
          <t>Pattillo, Chelsea:</t>
        </r>
        <r>
          <rPr>
            <sz val="9"/>
            <color indexed="81"/>
            <rFont val="Tahoma"/>
            <charset val="1"/>
          </rPr>
          <t xml:space="preserve">
w/p 03.04
</t>
        </r>
      </text>
    </comment>
    <comment ref="D29" authorId="0" shapeId="0" xr:uid="{E7FB8413-DB10-4E4A-A782-2C7498BC08D2}">
      <text>
        <r>
          <rPr>
            <b/>
            <sz val="9"/>
            <color indexed="81"/>
            <rFont val="Tahoma"/>
            <charset val="1"/>
          </rPr>
          <t>Pattillo, Chelsea:</t>
        </r>
        <r>
          <rPr>
            <sz val="9"/>
            <color indexed="81"/>
            <rFont val="Tahoma"/>
            <charset val="1"/>
          </rPr>
          <t xml:space="preserve">
w/p 03.04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Pattillo, Chelsea</author>
    <author>Fallon, Deandra M.</author>
  </authors>
  <commentList>
    <comment ref="D7" authorId="0" shapeId="0" xr:uid="{24DB2D51-1B5D-48EB-BD59-D2C92A0BC1FE}">
      <text>
        <r>
          <rPr>
            <b/>
            <sz val="9"/>
            <color indexed="81"/>
            <rFont val="Tahoma"/>
            <charset val="1"/>
          </rPr>
          <t>Pattillo, Chelsea:</t>
        </r>
        <r>
          <rPr>
            <sz val="9"/>
            <color indexed="81"/>
            <rFont val="Tahoma"/>
            <charset val="1"/>
          </rPr>
          <t xml:space="preserve">
w/p 03.04
</t>
        </r>
      </text>
    </comment>
    <comment ref="D10" authorId="0" shapeId="0" xr:uid="{101B781F-F548-4091-921F-BA5321A8EABD}">
      <text>
        <r>
          <rPr>
            <b/>
            <sz val="9"/>
            <color indexed="81"/>
            <rFont val="Tahoma"/>
            <charset val="1"/>
          </rPr>
          <t>Pattillo, Chelsea:</t>
        </r>
        <r>
          <rPr>
            <sz val="9"/>
            <color indexed="81"/>
            <rFont val="Tahoma"/>
            <charset val="1"/>
          </rPr>
          <t xml:space="preserve">
w/p 03.05
</t>
        </r>
      </text>
    </comment>
    <comment ref="D18" authorId="0" shapeId="0" xr:uid="{2D60798D-8E9A-456F-8F1D-2025437305F6}">
      <text>
        <r>
          <rPr>
            <b/>
            <sz val="9"/>
            <color indexed="81"/>
            <rFont val="Tahoma"/>
            <charset val="1"/>
          </rPr>
          <t>Pattillo, Chelsea:</t>
        </r>
        <r>
          <rPr>
            <sz val="9"/>
            <color indexed="81"/>
            <rFont val="Tahoma"/>
            <charset val="1"/>
          </rPr>
          <t xml:space="preserve">
w/p 03.05
</t>
        </r>
      </text>
    </comment>
    <comment ref="D32" authorId="0" shapeId="0" xr:uid="{EC59787F-D45A-4BE9-8CD7-2C5DC0D32103}">
      <text>
        <r>
          <rPr>
            <b/>
            <sz val="9"/>
            <color indexed="81"/>
            <rFont val="Tahoma"/>
            <family val="2"/>
          </rPr>
          <t>Pattillo, Chelsea:</t>
        </r>
        <r>
          <rPr>
            <sz val="9"/>
            <color indexed="81"/>
            <rFont val="Tahoma"/>
            <family val="2"/>
          </rPr>
          <t xml:space="preserve">
w/p 03.05</t>
        </r>
      </text>
    </comment>
    <comment ref="F32" authorId="0" shapeId="0" xr:uid="{01C8D3C9-B0CF-46A5-B603-8D383DAB98AC}">
      <text>
        <r>
          <rPr>
            <b/>
            <sz val="9"/>
            <color indexed="81"/>
            <rFont val="Tahoma"/>
            <family val="2"/>
          </rPr>
          <t>Pattillo, Chelsea:</t>
        </r>
        <r>
          <rPr>
            <sz val="9"/>
            <color indexed="81"/>
            <rFont val="Tahoma"/>
            <family val="2"/>
          </rPr>
          <t xml:space="preserve">
w/p 03.03
</t>
        </r>
      </text>
    </comment>
    <comment ref="D33" authorId="0" shapeId="0" xr:uid="{B564C472-15D6-4E55-99B0-9BF4AE8EB5FD}">
      <text>
        <r>
          <rPr>
            <b/>
            <sz val="9"/>
            <color indexed="81"/>
            <rFont val="Tahoma"/>
            <charset val="1"/>
          </rPr>
          <t xml:space="preserve">Pattillo, Chelsea:
w/p 03.06 and 03.07
</t>
        </r>
      </text>
    </comment>
    <comment ref="C51" authorId="0" shapeId="0" xr:uid="{56AA4342-E122-48BF-85FD-8E63C063D856}">
      <text>
        <r>
          <rPr>
            <b/>
            <sz val="9"/>
            <color indexed="81"/>
            <rFont val="Tahoma"/>
            <family val="2"/>
          </rPr>
          <t>Pattillo, Chelsea:</t>
        </r>
        <r>
          <rPr>
            <sz val="9"/>
            <color indexed="81"/>
            <rFont val="Tahoma"/>
            <family val="2"/>
          </rPr>
          <t xml:space="preserve">
w/p 03.02
</t>
        </r>
      </text>
    </comment>
    <comment ref="D63" authorId="1" shapeId="0" xr:uid="{A9E18824-7CB7-467C-96A0-4079500F5BFF}">
      <text>
        <r>
          <rPr>
            <b/>
            <sz val="9"/>
            <color indexed="81"/>
            <rFont val="Tahoma"/>
            <charset val="1"/>
          </rPr>
          <t>Fallon, Deandra M.:</t>
        </r>
        <r>
          <rPr>
            <sz val="9"/>
            <color indexed="81"/>
            <rFont val="Tahoma"/>
            <charset val="1"/>
          </rPr>
          <t xml:space="preserve">
From 10.03 - agency nursing and pharmacy consulting reclass</t>
        </r>
      </text>
    </comment>
    <comment ref="D70" authorId="0" shapeId="0" xr:uid="{0550C0CE-342F-45B8-AAAE-C5D58C530B11}">
      <text>
        <r>
          <rPr>
            <b/>
            <sz val="9"/>
            <color indexed="81"/>
            <rFont val="Tahoma"/>
            <charset val="1"/>
          </rPr>
          <t xml:space="preserve">Pattillo, Chelsea:
w/p 03.06 and 03.07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Pattillo, Chelsea</author>
  </authors>
  <commentList>
    <comment ref="D7" authorId="0" shapeId="0" xr:uid="{BE560BB1-F524-4EF1-BF11-84AD5965F9BC}">
      <text>
        <r>
          <rPr>
            <b/>
            <sz val="9"/>
            <color indexed="81"/>
            <rFont val="Tahoma"/>
            <charset val="1"/>
          </rPr>
          <t>Pattillo, Chelsea:</t>
        </r>
        <r>
          <rPr>
            <sz val="9"/>
            <color indexed="81"/>
            <rFont val="Tahoma"/>
            <charset val="1"/>
          </rPr>
          <t xml:space="preserve">
w/p 03.04
</t>
        </r>
      </text>
    </comment>
    <comment ref="D18" authorId="0" shapeId="0" xr:uid="{CCEBA6AF-4C26-4F21-BF04-0DCE8FAF8847}">
      <text>
        <r>
          <rPr>
            <b/>
            <sz val="9"/>
            <color indexed="81"/>
            <rFont val="Tahoma"/>
            <charset val="1"/>
          </rPr>
          <t>Pattillo, Chelsea:</t>
        </r>
        <r>
          <rPr>
            <sz val="9"/>
            <color indexed="81"/>
            <rFont val="Tahoma"/>
            <charset val="1"/>
          </rPr>
          <t xml:space="preserve">
w/p 03.06
</t>
        </r>
      </text>
    </comment>
    <comment ref="D35" authorId="0" shapeId="0" xr:uid="{89AD6B41-5511-4618-969E-094B09BB7C97}">
      <text>
        <r>
          <rPr>
            <b/>
            <sz val="9"/>
            <color indexed="81"/>
            <rFont val="Tahoma"/>
            <charset val="1"/>
          </rPr>
          <t>Pattillo, Chelsea:</t>
        </r>
        <r>
          <rPr>
            <sz val="9"/>
            <color indexed="81"/>
            <rFont val="Tahoma"/>
            <charset val="1"/>
          </rPr>
          <t xml:space="preserve">
w/p 03.05
</t>
        </r>
      </text>
    </comment>
    <comment ref="D54" authorId="0" shapeId="0" xr:uid="{780E6AF1-3446-48E1-93A1-970746BCDDAB}">
      <text>
        <r>
          <rPr>
            <b/>
            <sz val="9"/>
            <color indexed="81"/>
            <rFont val="Tahoma"/>
            <charset val="1"/>
          </rPr>
          <t>Pattillo, Chelsea:</t>
        </r>
        <r>
          <rPr>
            <sz val="9"/>
            <color indexed="81"/>
            <rFont val="Tahoma"/>
            <charset val="1"/>
          </rPr>
          <t xml:space="preserve">
w/p 03.04
</t>
        </r>
      </text>
    </comment>
    <comment ref="D60" authorId="0" shapeId="0" xr:uid="{58B8D991-992B-44BC-BBA7-B6C3C5E65D34}">
      <text>
        <r>
          <rPr>
            <b/>
            <sz val="9"/>
            <color indexed="81"/>
            <rFont val="Tahoma"/>
            <charset val="1"/>
          </rPr>
          <t>Pattillo, Chelsea:</t>
        </r>
        <r>
          <rPr>
            <sz val="9"/>
            <color indexed="81"/>
            <rFont val="Tahoma"/>
            <charset val="1"/>
          </rPr>
          <t xml:space="preserve">
w/p 03.04
</t>
        </r>
      </text>
    </comment>
    <comment ref="D72" authorId="0" shapeId="0" xr:uid="{DF485FF9-6AC9-4899-9C96-990880C741F6}">
      <text>
        <r>
          <rPr>
            <b/>
            <sz val="9"/>
            <color indexed="81"/>
            <rFont val="Tahoma"/>
            <charset val="1"/>
          </rPr>
          <t>Pattillo, Chelsea:</t>
        </r>
        <r>
          <rPr>
            <sz val="9"/>
            <color indexed="81"/>
            <rFont val="Tahoma"/>
            <charset val="1"/>
          </rPr>
          <t xml:space="preserve">
w/p 03.04
</t>
        </r>
      </text>
    </comment>
    <comment ref="D125" authorId="0" shapeId="0" xr:uid="{49AC4381-71EC-4D8A-85CF-E15DA503678B}">
      <text>
        <r>
          <rPr>
            <b/>
            <sz val="9"/>
            <color indexed="81"/>
            <rFont val="Tahoma"/>
            <charset val="1"/>
          </rPr>
          <t>Pattillo, Chelsea:</t>
        </r>
        <r>
          <rPr>
            <sz val="9"/>
            <color indexed="81"/>
            <rFont val="Tahoma"/>
            <charset val="1"/>
          </rPr>
          <t xml:space="preserve">
w/p 03.05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Pattillo, Chelsea</author>
  </authors>
  <commentList>
    <comment ref="D14" authorId="0" shapeId="0" xr:uid="{E64B194F-43CB-4A12-BA2F-51D63586AF2B}">
      <text>
        <r>
          <rPr>
            <b/>
            <sz val="9"/>
            <color indexed="81"/>
            <rFont val="Tahoma"/>
            <charset val="1"/>
          </rPr>
          <t>Pattillo, Chelsea:</t>
        </r>
        <r>
          <rPr>
            <sz val="9"/>
            <color indexed="81"/>
            <rFont val="Tahoma"/>
            <charset val="1"/>
          </rPr>
          <t xml:space="preserve">
w/p 03.06
</t>
        </r>
      </text>
    </comment>
    <comment ref="D18" authorId="0" shapeId="0" xr:uid="{969AF96E-EEA1-45A9-A475-459040BCCFC9}">
      <text>
        <r>
          <rPr>
            <b/>
            <sz val="9"/>
            <color indexed="81"/>
            <rFont val="Tahoma"/>
            <charset val="1"/>
          </rPr>
          <t>Pattillo, Chelsea:</t>
        </r>
        <r>
          <rPr>
            <sz val="9"/>
            <color indexed="81"/>
            <rFont val="Tahoma"/>
            <charset val="1"/>
          </rPr>
          <t xml:space="preserve">
w/p 03.07
</t>
        </r>
      </text>
    </comment>
    <comment ref="D20" authorId="0" shapeId="0" xr:uid="{F86D74BC-DCEA-4973-A341-D4DA4CE146D9}">
      <text>
        <r>
          <rPr>
            <b/>
            <sz val="9"/>
            <color indexed="81"/>
            <rFont val="Tahoma"/>
            <charset val="1"/>
          </rPr>
          <t>Pattillo, Chelsea:</t>
        </r>
        <r>
          <rPr>
            <sz val="9"/>
            <color indexed="81"/>
            <rFont val="Tahoma"/>
            <charset val="1"/>
          </rPr>
          <t xml:space="preserve">
w/p 03.07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Pattillo, Chelsea</author>
  </authors>
  <commentList>
    <comment ref="F29" authorId="0" shapeId="0" xr:uid="{58944013-D6B7-40B3-969B-D877A06A0A0A}">
      <text>
        <r>
          <rPr>
            <b/>
            <sz val="9"/>
            <color indexed="81"/>
            <rFont val="Tahoma"/>
            <family val="2"/>
          </rPr>
          <t>Pattillo, Chelsea:</t>
        </r>
        <r>
          <rPr>
            <sz val="9"/>
            <color indexed="81"/>
            <rFont val="Tahoma"/>
            <family val="2"/>
          </rPr>
          <t xml:space="preserve">
take total in column T and remove OT, Holiday, OC, and SD.
</t>
        </r>
      </text>
    </comment>
    <comment ref="N52" authorId="0" shapeId="0" xr:uid="{F468819B-82BB-461B-A0D4-5A1E3E348645}">
      <text>
        <r>
          <rPr>
            <b/>
            <sz val="9"/>
            <color indexed="81"/>
            <rFont val="Tahoma"/>
            <charset val="1"/>
          </rPr>
          <t>Pattillo, Chelsea:</t>
        </r>
        <r>
          <rPr>
            <sz val="9"/>
            <color indexed="81"/>
            <rFont val="Tahoma"/>
            <charset val="1"/>
          </rPr>
          <t xml:space="preserve">
59,215 is already reported in social services for 10-72 account, add difference of 13,203 to what is already reported in GL</t>
        </r>
      </text>
    </comment>
  </commentList>
</comments>
</file>

<file path=xl/sharedStrings.xml><?xml version="1.0" encoding="utf-8"?>
<sst xmlns="http://schemas.openxmlformats.org/spreadsheetml/2006/main" count="1055" uniqueCount="733">
  <si>
    <t>Schedule 3 Summary</t>
  </si>
  <si>
    <t>Table 1</t>
  </si>
  <si>
    <t>Line #</t>
  </si>
  <si>
    <t>Description</t>
  </si>
  <si>
    <t>GL Amount</t>
  </si>
  <si>
    <t>Reclass</t>
  </si>
  <si>
    <t>Reported Expenses</t>
  </si>
  <si>
    <t>Non-Allowable Expenses and Addbacks</t>
  </si>
  <si>
    <t>Total Allowable Expenses</t>
  </si>
  <si>
    <t>1.100</t>
  </si>
  <si>
    <t>DON - Salaries</t>
  </si>
  <si>
    <t>DON - Benefits</t>
  </si>
  <si>
    <t>DON - Taxes</t>
  </si>
  <si>
    <t>DON Purchased Services - Per Diem</t>
  </si>
  <si>
    <t>DON Purchased Services - Temporary Agency Staff</t>
  </si>
  <si>
    <t>DON Add back</t>
  </si>
  <si>
    <t>Subtotal DON</t>
  </si>
  <si>
    <t>RN - Salaries</t>
  </si>
  <si>
    <t>RN- Benefits</t>
  </si>
  <si>
    <t>RN - Taxes</t>
  </si>
  <si>
    <t>RN - Per Diem</t>
  </si>
  <si>
    <t>RN - Temporary Agency Staff</t>
  </si>
  <si>
    <t>1.200</t>
  </si>
  <si>
    <t>Subtotal RN</t>
  </si>
  <si>
    <t>1.300</t>
  </si>
  <si>
    <t>Subtotal LPN</t>
  </si>
  <si>
    <t>LPN - Salaries</t>
  </si>
  <si>
    <t>LPN- Benefits</t>
  </si>
  <si>
    <t>LPN - Taxes</t>
  </si>
  <si>
    <t>LPN - Per Diem</t>
  </si>
  <si>
    <t>LPN - Temporary Agency Staff</t>
  </si>
  <si>
    <t>1.400</t>
  </si>
  <si>
    <t>CNA - Salaries</t>
  </si>
  <si>
    <t>CNA - Benefits</t>
  </si>
  <si>
    <t>CNA - Taxes</t>
  </si>
  <si>
    <t>CNA - Per Diem</t>
  </si>
  <si>
    <t>CNA - Temporary Agency Staff</t>
  </si>
  <si>
    <t>Subtotal CNA</t>
  </si>
  <si>
    <t>1.500</t>
  </si>
  <si>
    <t>1.600</t>
  </si>
  <si>
    <t>Nurse Aide Training Administration</t>
  </si>
  <si>
    <t>Nursing Education and Training</t>
  </si>
  <si>
    <t>Subtotal Other Nursing Expenses</t>
  </si>
  <si>
    <t xml:space="preserve">Subtotal Total Nursing </t>
  </si>
  <si>
    <t>Less - Nursing Recoverable Income</t>
  </si>
  <si>
    <t>1.700</t>
  </si>
  <si>
    <t>Nursing &amp; Director Recoverable Income</t>
  </si>
  <si>
    <t>Nurses Aid Training Receoverable Income</t>
  </si>
  <si>
    <t>Subtotal Nursing &amp; DON Recoverable Income</t>
  </si>
  <si>
    <t>Subtotal Net Nursing Expenses Including Recoverable Income</t>
  </si>
  <si>
    <t>Table 2</t>
  </si>
  <si>
    <t>Admin - Salaries</t>
  </si>
  <si>
    <t>Admin - Benefits</t>
  </si>
  <si>
    <t>Admin - Taxes</t>
  </si>
  <si>
    <t xml:space="preserve">Admin Purchased Services </t>
  </si>
  <si>
    <t>Officers Compensation</t>
  </si>
  <si>
    <t>Management Company Admin Add back</t>
  </si>
  <si>
    <t>2.100</t>
  </si>
  <si>
    <t>Subtotal Admin</t>
  </si>
  <si>
    <t>2.200</t>
  </si>
  <si>
    <t>Clerical - Salaries</t>
  </si>
  <si>
    <t>Clerical - Benefits</t>
  </si>
  <si>
    <t>Clerical - Taxes</t>
  </si>
  <si>
    <t>Clerical Purchased Services</t>
  </si>
  <si>
    <t>Subtotal Clerical</t>
  </si>
  <si>
    <t>Electronic Data Processing, Payroll, Bookkeeping</t>
  </si>
  <si>
    <t>Office Supplies</t>
  </si>
  <si>
    <t xml:space="preserve">Other Telecommunications </t>
  </si>
  <si>
    <t>Telecommunications - internet, phone</t>
  </si>
  <si>
    <t>Travel - conventions and meetings</t>
  </si>
  <si>
    <t>Advertising - help wanted</t>
  </si>
  <si>
    <t>Licenses and Dues</t>
  </si>
  <si>
    <t>Continuing Professional Education / training and devel</t>
  </si>
  <si>
    <t>Accounting Services</t>
  </si>
  <si>
    <t>Insurance - malpractice and general liability</t>
  </si>
  <si>
    <t>Insurance - department of unemployment</t>
  </si>
  <si>
    <t>Other A&amp;G expenses</t>
  </si>
  <si>
    <t>Non-allowable A&amp;G</t>
  </si>
  <si>
    <t>Realty Company Other Expenses Add back</t>
  </si>
  <si>
    <t>Management Company Allocated A&amp;G Expenses</t>
  </si>
  <si>
    <t>Management Company Allocated Fixed Cost Expenses</t>
  </si>
  <si>
    <t>2.300</t>
  </si>
  <si>
    <t>Subtotal Other A&amp;G</t>
  </si>
  <si>
    <t>2.400</t>
  </si>
  <si>
    <t>Subtotal Total A&amp;G Expenses Before Recoverable Income</t>
  </si>
  <si>
    <t>Less - Administrative &amp; General Recoverable Income</t>
  </si>
  <si>
    <t>A&amp;G Recoverable Income</t>
  </si>
  <si>
    <t>2.500</t>
  </si>
  <si>
    <t>Subtotal A&amp;G General Recoverable Income</t>
  </si>
  <si>
    <t>Total Net Administrative &amp; General After Recoverable</t>
  </si>
  <si>
    <t>Detail of Other A&amp;G Expenses</t>
  </si>
  <si>
    <t>Amount</t>
  </si>
  <si>
    <t>2A.1</t>
  </si>
  <si>
    <t>See Footnotes for Table</t>
  </si>
  <si>
    <t>2A.100</t>
  </si>
  <si>
    <t>Subtotal Other A&amp;G Expenses</t>
  </si>
  <si>
    <t>2B.1</t>
  </si>
  <si>
    <t>2B.2</t>
  </si>
  <si>
    <t>2B.3</t>
  </si>
  <si>
    <t>2B.4</t>
  </si>
  <si>
    <t>2B.5</t>
  </si>
  <si>
    <t>2B.6</t>
  </si>
  <si>
    <t>2B.7</t>
  </si>
  <si>
    <t>2B.8</t>
  </si>
  <si>
    <t>2B.9</t>
  </si>
  <si>
    <t>2B.10</t>
  </si>
  <si>
    <t>2B.11</t>
  </si>
  <si>
    <t>2B.12</t>
  </si>
  <si>
    <t>2B.13</t>
  </si>
  <si>
    <t>2B.14</t>
  </si>
  <si>
    <t>2B.15</t>
  </si>
  <si>
    <t>2B.16</t>
  </si>
  <si>
    <t>2B.17</t>
  </si>
  <si>
    <t>2B.18</t>
  </si>
  <si>
    <t>2B.100</t>
  </si>
  <si>
    <t>Legal Other</t>
  </si>
  <si>
    <t>Management Consultants</t>
  </si>
  <si>
    <t>Bad Debt Expense</t>
  </si>
  <si>
    <t>User Fee Assessment</t>
  </si>
  <si>
    <t>Other Non Allowable A&amp;G Expenses</t>
  </si>
  <si>
    <t>Detail of Non-Allowable A&amp;G</t>
  </si>
  <si>
    <t>Table 3</t>
  </si>
  <si>
    <t>3.100</t>
  </si>
  <si>
    <t>Staff Development Coordinator - Salaries</t>
  </si>
  <si>
    <t>Staff Development Coordinator - Benefits</t>
  </si>
  <si>
    <t>Staff Development Coordinator - Taxes</t>
  </si>
  <si>
    <t>Subtotal Staff Development Coordinator</t>
  </si>
  <si>
    <t>Plant - Salaries</t>
  </si>
  <si>
    <t>Plant - Benefits</t>
  </si>
  <si>
    <t>Plant  - Taxes</t>
  </si>
  <si>
    <t>Staff Development Coordinator Purchased Services</t>
  </si>
  <si>
    <t>Plant Purchased Services</t>
  </si>
  <si>
    <t>Plant Supplies and Expense</t>
  </si>
  <si>
    <t>Plant Utilities</t>
  </si>
  <si>
    <t>Plant Repairs</t>
  </si>
  <si>
    <t>REA-CR Utilities/Plant Operations Add back</t>
  </si>
  <si>
    <t>Dietician - Salaries</t>
  </si>
  <si>
    <t>Dietician- Benefits</t>
  </si>
  <si>
    <t>Dietician - Taxes</t>
  </si>
  <si>
    <t>Dietician Purchased Services</t>
  </si>
  <si>
    <t>Dietician Add back</t>
  </si>
  <si>
    <t>Subtotal Dietician</t>
  </si>
  <si>
    <t>Subtotal Plant</t>
  </si>
  <si>
    <t>3.300</t>
  </si>
  <si>
    <t>3.200</t>
  </si>
  <si>
    <t>Dietary - Salaries</t>
  </si>
  <si>
    <t>Dietary - Benefits</t>
  </si>
  <si>
    <t>Dietary - Taxes</t>
  </si>
  <si>
    <t>Dietary Food</t>
  </si>
  <si>
    <t>Dietary Purchased Services</t>
  </si>
  <si>
    <t>Dietary Supplies and Expenses</t>
  </si>
  <si>
    <t>3.400</t>
  </si>
  <si>
    <t>Subtotal Dietary</t>
  </si>
  <si>
    <t>3.500</t>
  </si>
  <si>
    <t>Housekeeping/Laundry - Salaries</t>
  </si>
  <si>
    <t>Housekeeping/Laundry - Benefits</t>
  </si>
  <si>
    <t>Housekeeping/Laundry - Taxes</t>
  </si>
  <si>
    <t>Housekeeping/Laundry Purchased Services</t>
  </si>
  <si>
    <t>Housekeeping/Laundry Linen and Bedding</t>
  </si>
  <si>
    <t>Housekeeping/Laundry Supplies and Expenses</t>
  </si>
  <si>
    <t>Housekeeping/Laundry Special Cleaning</t>
  </si>
  <si>
    <t>Subtotal Housekeeping/Laundry</t>
  </si>
  <si>
    <t>3.600</t>
  </si>
  <si>
    <t>QA - Salaries</t>
  </si>
  <si>
    <t>QA - Benefits</t>
  </si>
  <si>
    <t>QA - Taxes</t>
  </si>
  <si>
    <t>QA Purchased Services</t>
  </si>
  <si>
    <t>QA Professional Addback</t>
  </si>
  <si>
    <t>Subtotal Quality Assurance</t>
  </si>
  <si>
    <t>3.700</t>
  </si>
  <si>
    <t>Unit Clerk &amp; Medical Recrods - Salaries</t>
  </si>
  <si>
    <t>Unit Clerk &amp; Medical Records - Benefits</t>
  </si>
  <si>
    <t>Unit Clerk &amp; Medical Records - Taxes</t>
  </si>
  <si>
    <t>Unit Clerk &amp; Medical Records Purchased Services</t>
  </si>
  <si>
    <t>Subtotal Unit Clerk &amp; Medical Records</t>
  </si>
  <si>
    <t>3.800</t>
  </si>
  <si>
    <t>MMQ - Salaries</t>
  </si>
  <si>
    <t>MMQ - Benefits</t>
  </si>
  <si>
    <t>MMQ - Taxes</t>
  </si>
  <si>
    <t>MMQ Purchased Services</t>
  </si>
  <si>
    <t>Subtotal MMQ Evaluation Nurse/MDS Coordinator</t>
  </si>
  <si>
    <t>3.900</t>
  </si>
  <si>
    <t>Behavioral Health - Salaries</t>
  </si>
  <si>
    <t>Behavioral Health - Benefits</t>
  </si>
  <si>
    <t>Behavioral Health - Taxes</t>
  </si>
  <si>
    <t>Behavioral Health Purchased Services</t>
  </si>
  <si>
    <t>Subtotal Behavioral Health Specialist</t>
  </si>
  <si>
    <t>Social Services - Salaries</t>
  </si>
  <si>
    <t>Social Services - Benefits</t>
  </si>
  <si>
    <t>Social Services - Taxes</t>
  </si>
  <si>
    <t>Social Services Purchased Services</t>
  </si>
  <si>
    <t>Subtotal Social Services Worker</t>
  </si>
  <si>
    <t>3.1000</t>
  </si>
  <si>
    <t>3.1100</t>
  </si>
  <si>
    <t>Interpreters - Salaries</t>
  </si>
  <si>
    <t>Interpreters - Benefits</t>
  </si>
  <si>
    <t>Interpreters - Taxes</t>
  </si>
  <si>
    <t>Interpreters Purchased Services</t>
  </si>
  <si>
    <t>Subtotal Interpreters</t>
  </si>
  <si>
    <t>Indirect Restorative Therapy - Salaries</t>
  </si>
  <si>
    <t>Indirect Restorative Therapy - Benefits</t>
  </si>
  <si>
    <t>Indirect Restorative Therapy - Taxes</t>
  </si>
  <si>
    <t>Indirect Restorative Therapy - Consultants</t>
  </si>
  <si>
    <t>Direct Restorative Therapy - Salaries</t>
  </si>
  <si>
    <t>Direct Restorative Therapy - Benefits</t>
  </si>
  <si>
    <t>Direct Restorative Therapy - Consultants</t>
  </si>
  <si>
    <t>Indirect Restorative Add Back</t>
  </si>
  <si>
    <t>3.1200</t>
  </si>
  <si>
    <t>3.1300</t>
  </si>
  <si>
    <t>Recreational Therapy/Activities - Salaries</t>
  </si>
  <si>
    <t>Recreational Therapy/Activities - Benefits</t>
  </si>
  <si>
    <t>Recreational Therapy/Activities - Taxes</t>
  </si>
  <si>
    <t>Recreational Therapy/Activities - Purchased Services</t>
  </si>
  <si>
    <t>Recreational Therapy/Activities Supplies and Expenses</t>
  </si>
  <si>
    <t>Recreational Therapy/Activities Transportation</t>
  </si>
  <si>
    <t>Subtotal Restorative Therapy</t>
  </si>
  <si>
    <t>Subtotal Recreational Therapy/Activities</t>
  </si>
  <si>
    <t>3.1400</t>
  </si>
  <si>
    <t>Subtotal Resident Care Assistant</t>
  </si>
  <si>
    <t>Resident Care Assistant - Salaries</t>
  </si>
  <si>
    <t>Resident Care Assistant - Benefits</t>
  </si>
  <si>
    <t>Resident Care Assistant - Taxes</t>
  </si>
  <si>
    <t>Resident Care Assistant - Purchased Services</t>
  </si>
  <si>
    <t>3.1500</t>
  </si>
  <si>
    <t>Security - Salaries</t>
  </si>
  <si>
    <t>Security - Benefits</t>
  </si>
  <si>
    <t>Security - Taxes</t>
  </si>
  <si>
    <t>Security - Purchased Services</t>
  </si>
  <si>
    <t>Subtotal Security</t>
  </si>
  <si>
    <t>Travel Motor Vehicle Expense</t>
  </si>
  <si>
    <t>Variable Other Required Education</t>
  </si>
  <si>
    <t>Variable Job Related Education</t>
  </si>
  <si>
    <t xml:space="preserve">Insurance </t>
  </si>
  <si>
    <t>Physician Services - Medical Director</t>
  </si>
  <si>
    <t>Physician Services - Advisory Physician</t>
  </si>
  <si>
    <t>Physician Services - Utilization Review Committee</t>
  </si>
  <si>
    <t>Physician Services Employee Physicals</t>
  </si>
  <si>
    <t>Physician Services Other</t>
  </si>
  <si>
    <t>Legend Drugs</t>
  </si>
  <si>
    <t>Personal Protective Equipment</t>
  </si>
  <si>
    <t>House Supplies Not Resold</t>
  </si>
  <si>
    <t>House Supplies Resold to Private Residents</t>
  </si>
  <si>
    <t>House Supplies Resold to Public Residents</t>
  </si>
  <si>
    <t>Pharmacy Consultant</t>
  </si>
  <si>
    <t>Subtotal Other Variable Expenses</t>
  </si>
  <si>
    <t>3.1600</t>
  </si>
  <si>
    <t>3.1700</t>
  </si>
  <si>
    <t>Subtotal Total Variable Expenses Before Recoverable Income</t>
  </si>
  <si>
    <t>Less Variable Recoverable Income</t>
  </si>
  <si>
    <t>3.1800</t>
  </si>
  <si>
    <t>Vending Machine Income</t>
  </si>
  <si>
    <t>Laundry Income</t>
  </si>
  <si>
    <t>Other Variable Recoverable Income</t>
  </si>
  <si>
    <t>Subtotal Variable Recoverable Income</t>
  </si>
  <si>
    <t>Total Net Variable Expenses Including Recoverable Income</t>
  </si>
  <si>
    <t>Table 4</t>
  </si>
  <si>
    <t>4.100</t>
  </si>
  <si>
    <t>Depreciation Expense</t>
  </si>
  <si>
    <t>LT Interest Expense SNF -CR</t>
  </si>
  <si>
    <t>LT Interest Expense REA-CR</t>
  </si>
  <si>
    <t>MA Corp Excise Tax - Non income Portion SNF-CR</t>
  </si>
  <si>
    <t>MA Corp Excise Tax - Non income Portion REA- CR</t>
  </si>
  <si>
    <t>Building Insurance Expense SNF -CR</t>
  </si>
  <si>
    <t>Building Insurance Expense REA -CR</t>
  </si>
  <si>
    <t>Real Estate Expense SNF -CR</t>
  </si>
  <si>
    <t>Real Estate Expense REA -CR</t>
  </si>
  <si>
    <t>Other Fixed Cost Expenses SNF -CR</t>
  </si>
  <si>
    <t>Other Fixed Cost Expenses REA -CR</t>
  </si>
  <si>
    <t>Subtotal Total Capital &amp; Fixed Costs Expenses</t>
  </si>
  <si>
    <t>Personal Property Tax Expense SNF-CR</t>
  </si>
  <si>
    <t>Personal Property Tax Expense REA-CR</t>
  </si>
  <si>
    <t>Less Capital &amp; Fixed Cost Expense Recoverable Income</t>
  </si>
  <si>
    <t>4.200</t>
  </si>
  <si>
    <t>Fixed Cost Recoverable Income SNF-CR</t>
  </si>
  <si>
    <t>Fixed Cost Recoverable Income REA-CR</t>
  </si>
  <si>
    <t>Subtotal Capital &amp; Fixed Cost Recoverable Income</t>
  </si>
  <si>
    <t>400</t>
  </si>
  <si>
    <t>Total Net Capital &amp; Fixed Cost Expenses</t>
  </si>
  <si>
    <t>Table 5</t>
  </si>
  <si>
    <t>Total Combined Expenses Before Recoverable Income</t>
  </si>
  <si>
    <t>Table 6</t>
  </si>
  <si>
    <t>Total Combined Expenses Net of Recoverable Income</t>
  </si>
  <si>
    <t>Real Property Rent Expense</t>
  </si>
  <si>
    <t>Sch 3, Ln 2.23</t>
  </si>
  <si>
    <t>Sch 4, Ln 3.11</t>
  </si>
  <si>
    <t>North Hill Communities, Inc.</t>
  </si>
  <si>
    <t>SH:Table 1</t>
  </si>
  <si>
    <t>$A$3</t>
  </si>
  <si>
    <t xml:space="preserve"> cw_clp("clp13")</t>
  </si>
  <si>
    <t>$C$7</t>
  </si>
  <si>
    <t xml:space="preserve"> cw_grp("5","BR","4620.0.6020.1")</t>
  </si>
  <si>
    <t>$C$8</t>
  </si>
  <si>
    <t xml:space="preserve"> cw_grp("5","BR","4620.0.4340.3")+cw_grp("5","BR","4620.0.4426.8")+cw_grp("5","BR","4620.0.4336.3")</t>
  </si>
  <si>
    <t>$C$9</t>
  </si>
  <si>
    <t xml:space="preserve"> cw_grp("5","BR","4620.0.4407.2")+cw_grp("5","BR","4620.0.4427.1")</t>
  </si>
  <si>
    <t>$C$15</t>
  </si>
  <si>
    <t xml:space="preserve"> cw_grp("5","BR","4630.0.6030.1")</t>
  </si>
  <si>
    <t>$C$16</t>
  </si>
  <si>
    <t xml:space="preserve"> cw_grp("5","BR","4630.0.7429.2")+cw_grp("5","BR","4630.0.7529.2")+cw_grp("5","BR","4630.0.7629.3")</t>
  </si>
  <si>
    <t>$C$17</t>
  </si>
  <si>
    <t xml:space="preserve"> cw_grp("5","BR","4630.0.7729.2")+cw_grp("5","BR","4630.0.7829.3")</t>
  </si>
  <si>
    <t>$C$22</t>
  </si>
  <si>
    <t xml:space="preserve"> cw_grp("5","BR","4640.0.6041.1")</t>
  </si>
  <si>
    <t>$C$23</t>
  </si>
  <si>
    <t xml:space="preserve"> cw_grp("5","BR","4640.0.7430.2")+cw_grp("5","BR","4640.0.7530.2")+cw_grp("5","BR","4640.0.7630.3")</t>
  </si>
  <si>
    <t>$C$24</t>
  </si>
  <si>
    <t xml:space="preserve"> cw_grp("5","BR","4640.0.7730.2")+cw_grp("5","BR","4640.0.7830.3")</t>
  </si>
  <si>
    <t>$C$29</t>
  </si>
  <si>
    <t xml:space="preserve"> cw_grp("5","BR","4650.0.6051.1")</t>
  </si>
  <si>
    <t>$C$30</t>
  </si>
  <si>
    <t xml:space="preserve"> cw_grp("5","BR","4650.0.7431.2")+cw_grp("5","BR","4650.0.7531.2")+cw_grp("5","BR","4650.0.7631.3")</t>
  </si>
  <si>
    <t>$C$31</t>
  </si>
  <si>
    <t xml:space="preserve"> cw_grp("5","BR","4650.0.7731.2")+cw_grp("5","BR","4650.0.7831.3")</t>
  </si>
  <si>
    <t>$A$1</t>
  </si>
  <si>
    <t xml:space="preserve"> cw_clp("clp2")</t>
  </si>
  <si>
    <t>SH:Table 2</t>
  </si>
  <si>
    <t xml:space="preserve"> cw_grp("5","BR","4720.0.4110.1")</t>
  </si>
  <si>
    <t xml:space="preserve"> cw_grp("5","BR","4720.0.7424.2")+cw_grp("5","BR","4720.0.7524.2")+cw_grp("5","BR","4720.0.7524.2")+cw_grp("5","BR","4720.0.7624.3")</t>
  </si>
  <si>
    <t xml:space="preserve"> cw_grp("5","BR","4720.0.7724.2")+cw_grp("5","BR","4720.0.7824.3")</t>
  </si>
  <si>
    <t>$C$10</t>
  </si>
  <si>
    <t xml:space="preserve"> cw_grp("5","BR","4720.0.7924.3")</t>
  </si>
  <si>
    <t xml:space="preserve"> cw_grp("5","BR","4750.0.4140.1")</t>
  </si>
  <si>
    <t xml:space="preserve"> cw_grp("5","BR","4750.0.7426.2")+cw_grp("5","BR","4750.0.7526.2")+cw_grp("5","BR","4750.0.7626.3")</t>
  </si>
  <si>
    <t xml:space="preserve"> cw_grp("5","BR","4750.0.7726.2")+cw_grp("5","BR","4750.0.7826.3")</t>
  </si>
  <si>
    <t>$C$18</t>
  </si>
  <si>
    <t xml:space="preserve"> cw_grp("5","BR","4750.0.7926.3")</t>
  </si>
  <si>
    <t>$C$21</t>
  </si>
  <si>
    <t xml:space="preserve"> cw_grp("5","BR","4760.0.4150.3")</t>
  </si>
  <si>
    <t xml:space="preserve"> cw_grp("5","BR","4760.0.4250.5")</t>
  </si>
  <si>
    <t xml:space="preserve"> cw_grp("5","BR","4760.0.4261.5")</t>
  </si>
  <si>
    <t>$C$25</t>
  </si>
  <si>
    <t xml:space="preserve"> cw_grp("5","BR","4760.0.4280.5")</t>
  </si>
  <si>
    <t>$C$26</t>
  </si>
  <si>
    <t xml:space="preserve"> cw_grp("5","BR","4760.0.4295.7")</t>
  </si>
  <si>
    <t>$C$27</t>
  </si>
  <si>
    <t xml:space="preserve"> cw_grp("5","BR","4760.0.4301.7")</t>
  </si>
  <si>
    <t>$C$28</t>
  </si>
  <si>
    <t xml:space="preserve"> cw_grp("5","BR","4760.0.4306.2")</t>
  </si>
  <si>
    <t xml:space="preserve"> cw_grp("5","BR","4760.0.4350.3")+cw_grp("5","BR","4760.0.4360.3")</t>
  </si>
  <si>
    <t xml:space="preserve"> cw_grp("5","BR","4760.0.4431.7")</t>
  </si>
  <si>
    <t>$C$32</t>
  </si>
  <si>
    <t xml:space="preserve"> cw_grp("5","BR","4760.0.4440.0")</t>
  </si>
  <si>
    <t>$C$60</t>
  </si>
  <si>
    <t xml:space="preserve"> cw_grp("5","BR","4760.0.4390.7")</t>
  </si>
  <si>
    <t>$C$63</t>
  </si>
  <si>
    <t xml:space="preserve"> cw_grp("5","BR","4760.0.4160.6")</t>
  </si>
  <si>
    <t>$C$68</t>
  </si>
  <si>
    <t xml:space="preserve"> cw_grp("5","BR","8010.0")</t>
  </si>
  <si>
    <t>$C$69</t>
  </si>
  <si>
    <t xml:space="preserve"> cw_grp("5","BR","8012.0")</t>
  </si>
  <si>
    <t>$C$70</t>
  </si>
  <si>
    <t xml:space="preserve"> cw_grp("5","BR","8065.0")</t>
  </si>
  <si>
    <t>SH:Table 3</t>
  </si>
  <si>
    <t>$C$13</t>
  </si>
  <si>
    <t xml:space="preserve"> cw_grp("5","BR","4830.0.5105.1")</t>
  </si>
  <si>
    <t>$C$14</t>
  </si>
  <si>
    <t xml:space="preserve"> cw_grp("5","BR","4830.0.7411.2")+cw_grp("5","BR","4830.0.7511.2")+cw_grp("5","BR","4830.0.7611.3")</t>
  </si>
  <si>
    <t xml:space="preserve"> cw_grp("5","BR","4830.0.7711.2")+cw_grp("5","BR","4830.0.7811.3")</t>
  </si>
  <si>
    <t xml:space="preserve"> cw_grp("5","BR","4830.0.5110.3")</t>
  </si>
  <si>
    <t xml:space="preserve"> cw_grp("5","BR","4830.0.5115.5")</t>
  </si>
  <si>
    <t xml:space="preserve"> cw_grp("5","BR","4830.0.5120.5")</t>
  </si>
  <si>
    <t>$C$19</t>
  </si>
  <si>
    <t xml:space="preserve"> cw_grp("5","BR","4830.0.5130.7")</t>
  </si>
  <si>
    <t xml:space="preserve"> cw_grp("5","BR","4850.0.5233.3")</t>
  </si>
  <si>
    <t xml:space="preserve"> cw_grp("5","BR","4840.0.5205.1")</t>
  </si>
  <si>
    <t xml:space="preserve"> cw_grp("5","BR","4840.0.7412.2")+cw_grp("5","BR","4840.0.7512.2")+cw_grp("5","BR","4840.0.7612.3")</t>
  </si>
  <si>
    <t xml:space="preserve"> cw_grp("5","BR","4840.0.7712.2")+cw_grp("5","BR","4840.0.7812.3")</t>
  </si>
  <si>
    <t>$C$33</t>
  </si>
  <si>
    <t xml:space="preserve"> cw_grp("5","BR","4840.0.5220.5")</t>
  </si>
  <si>
    <t>$C$34</t>
  </si>
  <si>
    <t xml:space="preserve"> cw_grp("5","BR","4840.0.5221.3")</t>
  </si>
  <si>
    <t>$C$35</t>
  </si>
  <si>
    <t xml:space="preserve"> cw_grp("5","BR","4840.0.5235.5")</t>
  </si>
  <si>
    <t>$C$38</t>
  </si>
  <si>
    <t xml:space="preserve"> cw_grp("5","BR","4860.0.5310.1")+cw_grp("5","BR","4870.0.5410.1")</t>
  </si>
  <si>
    <t>$C$39</t>
  </si>
  <si>
    <t xml:space="preserve"> cw_grp("5","BR","4860.0.7414.2")+cw_grp("5","BR","4870.0.7415.2")+cw_grp("5","BR","4860.0.7514.2")+cw_grp("5","BR","4870.0.7515.2")+cw_grp("5","BR","4870.0.7615.3")+cw_grp("5","BR","4860.0.7614.3")</t>
  </si>
  <si>
    <t>$C$40</t>
  </si>
  <si>
    <t xml:space="preserve"> cw_grp("5","BR","4860.0.7714.2")+cw_grp("5","BR","4860.0.7814.3")+cw_grp("5","BR","4870.0.7715.2")+cw_grp("5","BR","4870.0.7815.3")</t>
  </si>
  <si>
    <t>$C$41</t>
  </si>
  <si>
    <t xml:space="preserve"> cw_grp("5","BR","4860.0.5320.3")+cw_grp("5","BR","4870.0.5415.3")</t>
  </si>
  <si>
    <t>$C$42</t>
  </si>
  <si>
    <t xml:space="preserve"> cw_grp("5","BR","4860.0.5330.5")+cw_grp("5","BR","4870.0.5420.5")</t>
  </si>
  <si>
    <t>$C$43</t>
  </si>
  <si>
    <t xml:space="preserve"> cw_grp("5","BR","4860.0.5340.5")</t>
  </si>
  <si>
    <t>$C$54</t>
  </si>
  <si>
    <t xml:space="preserve"> cw_grp("5","BR","4890.0.6505.1")</t>
  </si>
  <si>
    <t>$C$55</t>
  </si>
  <si>
    <t xml:space="preserve"> cw_grp("5","BR","4890.0.7417.2")+cw_grp("5","BR","4890.0.7517.2")+cw_grp("5","BR","4890.0.7617.3")</t>
  </si>
  <si>
    <t>$C$56</t>
  </si>
  <si>
    <t xml:space="preserve"> cw_grp("5","BR","4890.0.7717.2")+cw_grp("5","BR","4890.0.7817.3")</t>
  </si>
  <si>
    <t>$C$57</t>
  </si>
  <si>
    <t xml:space="preserve"> cw_grp("5","BR","4890.0.7917.3")</t>
  </si>
  <si>
    <t xml:space="preserve"> cw_grp("5","BR","4900.0.6508.1")+cw_grp("5","BR","4900.0.6506.1")+cw_grp("5","BR","4910.0.6508.1")</t>
  </si>
  <si>
    <t>$C$61</t>
  </si>
  <si>
    <t xml:space="preserve"> cw_grp("5","BR","4900.0.7418.2")+cw_grp("5","BR","4900.0.7432.2")+cw_grp("5","BR","4900.0.7518.2")+cw_grp("5","BR","4900.0.7532.2")+cw_grp("5","BR","4900.0.7618.3")+cw_grp("5","BR","4900.0.7632.3")</t>
  </si>
  <si>
    <t>$C$62</t>
  </si>
  <si>
    <t xml:space="preserve"> cw_grp("5","BR","4900.0.7718.2")+cw_grp("5","BR","4900.0.7732.2")+cw_grp("5","BR","4900.0.7818.3")</t>
  </si>
  <si>
    <t>$C$72</t>
  </si>
  <si>
    <t xml:space="preserve"> cw_grp("5","BR","4920.0.6540.0")</t>
  </si>
  <si>
    <t>$C$73</t>
  </si>
  <si>
    <t xml:space="preserve"> cw_grp("5","BR","4920.0.7420.2")+cw_grp("5","BR","4920.0.7520.2")+cw_grp("5","BR","4920.0.7620.3")</t>
  </si>
  <si>
    <t>$C$74</t>
  </si>
  <si>
    <t xml:space="preserve"> cw_grp("5","BR","4920.0.7720.2")+cw_grp("5","BR","4920.0.7820.3")</t>
  </si>
  <si>
    <t>$C$75</t>
  </si>
  <si>
    <t xml:space="preserve"> cw_grp("5","BR","4920.0.7920.3")</t>
  </si>
  <si>
    <t>$C$87</t>
  </si>
  <si>
    <t xml:space="preserve"> cw_grp("5","BR","4930.0.7013.3")</t>
  </si>
  <si>
    <t>$C$94</t>
  </si>
  <si>
    <t xml:space="preserve"> cw_grp("5","BR","4940.0.7021.1")</t>
  </si>
  <si>
    <t>$C$95</t>
  </si>
  <si>
    <t xml:space="preserve"> cw_grp("5","BR","4940.0.7423.2")+cw_grp("5","BR","4940.0.7523.2")+cw_grp("5","BR","4940.0.7623.3")</t>
  </si>
  <si>
    <t>$C$96</t>
  </si>
  <si>
    <t xml:space="preserve"> cw_grp("5","BR","4940.0.7723.2")+cw_grp("5","BR","4940.0.7823.3")</t>
  </si>
  <si>
    <t>$C$97</t>
  </si>
  <si>
    <t xml:space="preserve"> cw_grp("5","BR","4940.0.7022.3")</t>
  </si>
  <si>
    <t>$C$98</t>
  </si>
  <si>
    <t xml:space="preserve"> cw_grp("5","BR","4940.0.7023.5")</t>
  </si>
  <si>
    <t>$C$99</t>
  </si>
  <si>
    <t xml:space="preserve"> cw_grp("5","BR","4940.0.7024.8")</t>
  </si>
  <si>
    <t>$C$118</t>
  </si>
  <si>
    <t xml:space="preserve"> cw_grp("5","BR","4950.0.6511.3")</t>
  </si>
  <si>
    <t>$C$125</t>
  </si>
  <si>
    <t xml:space="preserve"> cw_grp("5","BR","4950.0.6522.5")</t>
  </si>
  <si>
    <t>$C$126</t>
  </si>
  <si>
    <t xml:space="preserve"> cw_grp("5","BR","4950.0.6523.5")</t>
  </si>
  <si>
    <t>$C$127</t>
  </si>
  <si>
    <t xml:space="preserve"> cw_grp("5","BR","4950.0.6523.6")</t>
  </si>
  <si>
    <t>$C$128</t>
  </si>
  <si>
    <t xml:space="preserve"> cw_grp("5","BR","4950.0.6530.0")</t>
  </si>
  <si>
    <t>SH:Table 4</t>
  </si>
  <si>
    <t xml:space="preserve"> cw_grp("5","BR","4550.0")</t>
  </si>
  <si>
    <t xml:space="preserve"> cw_grp("5","BR","4520.8")</t>
  </si>
  <si>
    <t>$C$12</t>
  </si>
  <si>
    <t xml:space="preserve"> cw_grp("5","BR","4590.8")</t>
  </si>
  <si>
    <t xml:space="preserve"> cw_grp("5","BR","4510.8")</t>
  </si>
  <si>
    <t xml:space="preserve"> cw_grp("5","BR","4515.8")</t>
  </si>
  <si>
    <t xml:space="preserve"> cw_grp("5","BR","4538.8")</t>
  </si>
  <si>
    <t>$C$20</t>
  </si>
  <si>
    <t xml:space="preserve"> cw_grp("5","BR","4535.8")</t>
  </si>
  <si>
    <t>BT Summary of Wages/Benefits/Taxes for Department 10-72</t>
  </si>
  <si>
    <t>Wages</t>
  </si>
  <si>
    <t>Benefits</t>
  </si>
  <si>
    <t>Taxes</t>
  </si>
  <si>
    <t>Base</t>
  </si>
  <si>
    <t>OT</t>
  </si>
  <si>
    <t>SD</t>
  </si>
  <si>
    <t>Total</t>
  </si>
  <si>
    <t>DON</t>
  </si>
  <si>
    <t>RN</t>
  </si>
  <si>
    <t>Staff Development</t>
  </si>
  <si>
    <t>LPN</t>
  </si>
  <si>
    <t>Aide</t>
  </si>
  <si>
    <t>Admin</t>
  </si>
  <si>
    <t>Ward Clerk/Med Rec</t>
  </si>
  <si>
    <t>MDS Coord</t>
  </si>
  <si>
    <t>Social Services</t>
  </si>
  <si>
    <t>A</t>
  </si>
  <si>
    <t>The only account in department 10-72 reported in social services is 10-72-60300-02.</t>
  </si>
  <si>
    <t>Below is the calculation of the total amounts to be reported in social services taking into consideration the other GL accounts</t>
  </si>
  <si>
    <t>Benefits and Taxes take the original amounts reported in the GL and add the allocated benefit and tax amounts.</t>
  </si>
  <si>
    <t xml:space="preserve">Wages take the original amount reported in the GL without account 10-72-60300-02 and add the allocated amount above. </t>
  </si>
  <si>
    <t>Original GL Amount</t>
  </si>
  <si>
    <t>Adjusted</t>
  </si>
  <si>
    <t>Rows 8-26 are copied and pasted data from Hours &amp; $ BT tab</t>
  </si>
  <si>
    <t>Added column S shift differential numbers from SD BT Summary</t>
  </si>
  <si>
    <t>Row Labels</t>
  </si>
  <si>
    <t>Sum of Hol Amount</t>
  </si>
  <si>
    <t>Sum of Jury Amount</t>
  </si>
  <si>
    <t>Sum of Stipend Amount</t>
  </si>
  <si>
    <t>Sum of TelReimbFT Amount</t>
  </si>
  <si>
    <t>Sum of OT Amount</t>
  </si>
  <si>
    <t>Sum of Sick Amount</t>
  </si>
  <si>
    <t>Sum of PTO Amount</t>
  </si>
  <si>
    <t>Sum of Suppl Amount</t>
  </si>
  <si>
    <t>Sum of Sup Pay Amount</t>
  </si>
  <si>
    <t>Sum of Hol DT Amount</t>
  </si>
  <si>
    <t>Sum of OnCall Amount</t>
  </si>
  <si>
    <t>Sum of MOD Amount</t>
  </si>
  <si>
    <t>Sum of Bereave Amount</t>
  </si>
  <si>
    <t>Sum of COVID Amount</t>
  </si>
  <si>
    <t>Sum of Bonus Amount</t>
  </si>
  <si>
    <t>Sum of Reg Amount</t>
  </si>
  <si>
    <t>Sum of Hol OT Amount</t>
  </si>
  <si>
    <t>SD from 'SD BT Summary' tab</t>
  </si>
  <si>
    <t>Total $</t>
  </si>
  <si>
    <t>BT Label</t>
  </si>
  <si>
    <t>OT %</t>
  </si>
  <si>
    <t>Holiday %</t>
  </si>
  <si>
    <t>OC %</t>
  </si>
  <si>
    <t>SD %</t>
  </si>
  <si>
    <t>Administrative Coordinator</t>
  </si>
  <si>
    <t xml:space="preserve">  </t>
  </si>
  <si>
    <t>Administrator</t>
  </si>
  <si>
    <t>Admissions &amp; Marketing Manager</t>
  </si>
  <si>
    <t>Care Partners</t>
  </si>
  <si>
    <t>CNA</t>
  </si>
  <si>
    <t>COVID-19 Testing Administrator</t>
  </si>
  <si>
    <t>Director of Nursing</t>
  </si>
  <si>
    <t>Director of Resident Engagement</t>
  </si>
  <si>
    <t>MDS Coordinator</t>
  </si>
  <si>
    <t>Medical Records Coordinator</t>
  </si>
  <si>
    <t>Ward Clerk/Medical Records</t>
  </si>
  <si>
    <t>Receptionist</t>
  </si>
  <si>
    <t>RN Supervisor</t>
  </si>
  <si>
    <t>Scheduling Coordinator</t>
  </si>
  <si>
    <t>Social Worker</t>
  </si>
  <si>
    <t>Staff Development Coordinator</t>
  </si>
  <si>
    <t>Staffing and Scheduling Coordinator</t>
  </si>
  <si>
    <t>Grand Total</t>
  </si>
  <si>
    <t>BT ALLOCATION OF WAGES</t>
  </si>
  <si>
    <t xml:space="preserve">Below are GL accounts from department 10-72. Salary accounts need overtime, holiday, shift differentials, oncall, benefits, and taxes allocated. </t>
  </si>
  <si>
    <t>Regular Wages</t>
  </si>
  <si>
    <t>TB Amount</t>
  </si>
  <si>
    <t>% to total Reg Wages</t>
  </si>
  <si>
    <t>PBC Amount from above table</t>
  </si>
  <si>
    <t>Updated Reg Wages</t>
  </si>
  <si>
    <t>Allocated OT</t>
  </si>
  <si>
    <t>Allocated Holiday</t>
  </si>
  <si>
    <t>Allocated SD</t>
  </si>
  <si>
    <t>Allocated OC</t>
  </si>
  <si>
    <t>Updated Total $</t>
  </si>
  <si>
    <t>% to total Updated total Wages</t>
  </si>
  <si>
    <t>10-72-60200-02</t>
  </si>
  <si>
    <t>10-72-60020-02</t>
  </si>
  <si>
    <t>10-72-60250-02</t>
  </si>
  <si>
    <t>10-72-60240-02</t>
  </si>
  <si>
    <t>10-72-60230-02</t>
  </si>
  <si>
    <t>10-72-60000-02</t>
  </si>
  <si>
    <t>10-72-60210-02</t>
  </si>
  <si>
    <t>10-72-60290-02</t>
  </si>
  <si>
    <t>10-72-60292-02</t>
  </si>
  <si>
    <t>10-72-60260-02</t>
  </si>
  <si>
    <t>10-72-60300-02</t>
  </si>
  <si>
    <t>Total Reg Wages</t>
  </si>
  <si>
    <t>Other Wages</t>
  </si>
  <si>
    <t>10-72-60310-02</t>
  </si>
  <si>
    <t>10-72-60315-02</t>
  </si>
  <si>
    <t>10-72-60320-02</t>
  </si>
  <si>
    <t>10-72-60330-02</t>
  </si>
  <si>
    <t>BT ALLOCATION OF BENEFITS AND TAXES</t>
  </si>
  <si>
    <t>10-72-70020-02</t>
  </si>
  <si>
    <t>10-72-70026-02</t>
  </si>
  <si>
    <t>10-72-70030-02</t>
  </si>
  <si>
    <t>10-72-70015-02</t>
  </si>
  <si>
    <t>10-72-70025-02</t>
  </si>
  <si>
    <t>10-72-70000-02</t>
  </si>
  <si>
    <t>10-72-70010-02</t>
  </si>
  <si>
    <t>Allocation % from above</t>
  </si>
  <si>
    <t>Benefits Alloc</t>
  </si>
  <si>
    <t>Taxes Alloc</t>
  </si>
  <si>
    <t>Supervisor(s)</t>
  </si>
  <si>
    <t>Licensed RNs</t>
  </si>
  <si>
    <t>Licensed LPNs</t>
  </si>
  <si>
    <t>Aides</t>
  </si>
  <si>
    <t>Management Wages</t>
  </si>
  <si>
    <t>Administrative Services</t>
  </si>
  <si>
    <t>Accredited Records Technician</t>
  </si>
  <si>
    <t>Staffing/Scheduling</t>
  </si>
  <si>
    <t>Resident Assessment Coord</t>
  </si>
  <si>
    <t>Overtime</t>
  </si>
  <si>
    <t>Wages - Holiday Worked</t>
  </si>
  <si>
    <t>Shift Differential</t>
  </si>
  <si>
    <t>On Call Wages</t>
  </si>
  <si>
    <t>Employee Insurance Benefits</t>
  </si>
  <si>
    <t>HRSA/HAS Contribution</t>
  </si>
  <si>
    <t>401K Contributions</t>
  </si>
  <si>
    <t>Unemployed Compensation</t>
  </si>
  <si>
    <t>Short/Long Term Insurance</t>
  </si>
  <si>
    <t>Payroll Taxes</t>
  </si>
  <si>
    <t>Workers' Compensation Insurance</t>
  </si>
  <si>
    <t>10-72-80011-02 Covid Expense Details CY 2022</t>
  </si>
  <si>
    <t xml:space="preserve">Vendor </t>
  </si>
  <si>
    <t>Totals by Vendor</t>
  </si>
  <si>
    <t xml:space="preserve">Pro EMS  Solutions </t>
  </si>
  <si>
    <t>Offset</t>
  </si>
  <si>
    <t xml:space="preserve">COVID-19  Testing Administrator </t>
  </si>
  <si>
    <t>Admin 2.4</t>
  </si>
  <si>
    <t xml:space="preserve">Inventory Req Register </t>
  </si>
  <si>
    <t>Supplies (gloves masks etc)</t>
  </si>
  <si>
    <t>Medical Supplies 3.89</t>
  </si>
  <si>
    <t>Leave</t>
  </si>
  <si>
    <t>M&amp;T Bank</t>
  </si>
  <si>
    <t>Leave in admin 2.22</t>
  </si>
  <si>
    <t>Complete Staffing Solutions</t>
  </si>
  <si>
    <t>Admin - 2.10</t>
  </si>
  <si>
    <t>Uline</t>
  </si>
  <si>
    <t>Dietary Supplies 3.23</t>
  </si>
  <si>
    <t>McKesson Medical-Surgical MN Supply Inc</t>
  </si>
  <si>
    <t>NF Surveillance Payments Testing/Lump Sum Pymts</t>
  </si>
  <si>
    <t xml:space="preserve"> </t>
  </si>
  <si>
    <t xml:space="preserve">Monthly Totals </t>
  </si>
  <si>
    <t>GL Balance by month</t>
  </si>
  <si>
    <t>Reclassifications</t>
  </si>
  <si>
    <t xml:space="preserve">Allocation by SQ FT </t>
  </si>
  <si>
    <t>w/p 505.4</t>
  </si>
  <si>
    <t>Current</t>
  </si>
  <si>
    <t>TB</t>
  </si>
  <si>
    <t>Should be</t>
  </si>
  <si>
    <t>Real Estate Taxes</t>
  </si>
  <si>
    <t>01</t>
  </si>
  <si>
    <t>10-10-80070-01</t>
  </si>
  <si>
    <t>02</t>
  </si>
  <si>
    <t>10-10-80070-02</t>
  </si>
  <si>
    <t>c/r</t>
  </si>
  <si>
    <t>Line 4.8</t>
  </si>
  <si>
    <t>04</t>
  </si>
  <si>
    <t>10-10-80070-04</t>
  </si>
  <si>
    <t>Utilities-Electric</t>
  </si>
  <si>
    <t>10-30-80470-01</t>
  </si>
  <si>
    <t>10-30-80470-03</t>
  </si>
  <si>
    <t>10-30-80470-02</t>
  </si>
  <si>
    <t>10-30-80470-04</t>
  </si>
  <si>
    <t>Utilities-Gas</t>
  </si>
  <si>
    <t>10-30-80480-01</t>
  </si>
  <si>
    <t>10-30-80480-02</t>
  </si>
  <si>
    <t>10-30-80480-04</t>
  </si>
  <si>
    <t>Utilities-Water &amp; Sewer</t>
  </si>
  <si>
    <t>10-30-80490-01</t>
  </si>
  <si>
    <t>10-30-80490-02</t>
  </si>
  <si>
    <t>10-30-80490-04</t>
  </si>
  <si>
    <t>A/C# 5120.5</t>
  </si>
  <si>
    <t>per t/b</t>
  </si>
  <si>
    <t>Line 3.10</t>
  </si>
  <si>
    <t>Other</t>
  </si>
  <si>
    <t>Cable and Fuel</t>
  </si>
  <si>
    <t>Total - r/e &amp; utilities</t>
  </si>
  <si>
    <t>Line 2.23</t>
  </si>
  <si>
    <t>Babson Lease</t>
  </si>
  <si>
    <t>Amortization of Series 2017 Bonds</t>
  </si>
  <si>
    <t>PBC</t>
  </si>
  <si>
    <t>Per TB</t>
  </si>
  <si>
    <t>10-99-99425-01</t>
  </si>
  <si>
    <t>10-99-99425-02</t>
  </si>
  <si>
    <t>Line 4.12</t>
  </si>
  <si>
    <t>10-99-99425-04</t>
  </si>
  <si>
    <t>Interest Expense</t>
  </si>
  <si>
    <t>10-99-99445-01</t>
  </si>
  <si>
    <t>10-99-99445-02</t>
  </si>
  <si>
    <t>10-99-99445-04</t>
  </si>
  <si>
    <t>10-99-99450-02</t>
  </si>
  <si>
    <t>10-99-99450-04</t>
  </si>
  <si>
    <t>10-10-81080-01</t>
  </si>
  <si>
    <t>10-10-81080-02</t>
  </si>
  <si>
    <t>Line 4.14</t>
  </si>
  <si>
    <t>10-10-81080-04</t>
  </si>
  <si>
    <t>Should Be</t>
  </si>
  <si>
    <t>Professional Fees SNF -10-72-80050-02</t>
  </si>
  <si>
    <t>Jan</t>
  </si>
  <si>
    <t>Feb</t>
  </si>
  <si>
    <t>Mar</t>
  </si>
  <si>
    <t>Apr</t>
  </si>
  <si>
    <t>May</t>
  </si>
  <si>
    <t>Jun</t>
  </si>
  <si>
    <t>Jul</t>
  </si>
  <si>
    <t>Aug</t>
  </si>
  <si>
    <t>Sep</t>
  </si>
  <si>
    <t>Oct</t>
  </si>
  <si>
    <t>Nov</t>
  </si>
  <si>
    <t>Dec</t>
  </si>
  <si>
    <t>SNF-CR Ln</t>
  </si>
  <si>
    <t>Hours</t>
  </si>
  <si>
    <t>Omnicare</t>
  </si>
  <si>
    <t>pharmancy consulting</t>
  </si>
  <si>
    <t>Bruce Kaster</t>
  </si>
  <si>
    <t>MD</t>
  </si>
  <si>
    <t>Core Medical Group</t>
  </si>
  <si>
    <t>Agency LPN coverage</t>
  </si>
  <si>
    <t xml:space="preserve">PC Healthcare </t>
  </si>
  <si>
    <t>Agency RN coverage</t>
  </si>
  <si>
    <t xml:space="preserve">Jennifer Murray </t>
  </si>
  <si>
    <t>resident 24 coverage in home care</t>
  </si>
  <si>
    <t xml:space="preserve">Polaris Group </t>
  </si>
  <si>
    <t>Consultant Mock survery</t>
  </si>
  <si>
    <t xml:space="preserve">Jewish Family &amp; Children Services </t>
  </si>
  <si>
    <t>Elder Care Consulting</t>
  </si>
  <si>
    <t xml:space="preserve">AYA Healthcare </t>
  </si>
  <si>
    <t>Agency RN &amp; LPN coverage</t>
  </si>
  <si>
    <t>Ln 1.11</t>
  </si>
  <si>
    <t>Social Work Staffing  - William H. Johnson</t>
  </si>
  <si>
    <t>social worker consultant</t>
  </si>
  <si>
    <t>Ln 1.16</t>
  </si>
  <si>
    <t>Four Peaks Health Solutions</t>
  </si>
  <si>
    <t xml:space="preserve">IC review </t>
  </si>
  <si>
    <t>D Kane recept coverage</t>
  </si>
  <si>
    <t>To Ln 3.92</t>
  </si>
  <si>
    <t>To Ln 1.16</t>
  </si>
  <si>
    <t>To Ln 1.11</t>
  </si>
  <si>
    <t>To Ln 3.51</t>
  </si>
  <si>
    <t>To Ln 3.43</t>
  </si>
  <si>
    <t>Dietician 10-72-80850-02</t>
  </si>
  <si>
    <t>Sadia Kazimi</t>
  </si>
  <si>
    <t>Medical Director 10-72-80910-02</t>
  </si>
  <si>
    <t>Medical Care of Boston Mgt Corp</t>
  </si>
  <si>
    <t>Professional Fees 10-12-80050-02</t>
  </si>
  <si>
    <t>SNF Solutions</t>
  </si>
  <si>
    <t xml:space="preserve">Baker Tilly </t>
  </si>
  <si>
    <t>Centage Corporation</t>
  </si>
  <si>
    <t>Professional Fees 10-40-80050-02</t>
  </si>
  <si>
    <t xml:space="preserve">4M Building Solutions DBA Heritage Healthcare </t>
  </si>
  <si>
    <t xml:space="preserve">Housekeeping/Laundry Services </t>
  </si>
  <si>
    <t>Professional Fees 10-12-80140-02</t>
  </si>
  <si>
    <t xml:space="preserve">Accrued Auditing Fees </t>
  </si>
  <si>
    <t>Professional Fees 10-20-80050-02</t>
  </si>
  <si>
    <t>Resident Entertainment</t>
  </si>
  <si>
    <t xml:space="preserve">Golden Moments </t>
  </si>
  <si>
    <t>Duane Sullivan</t>
  </si>
  <si>
    <t>Kevin Driscoll</t>
  </si>
  <si>
    <t xml:space="preserve">Marti Sawyer </t>
  </si>
  <si>
    <t>Mark Tavenner Cinco de Mayo</t>
  </si>
  <si>
    <t>Dlores Ofria Swinging Standards</t>
  </si>
  <si>
    <t xml:space="preserve">Richard Bern </t>
  </si>
  <si>
    <t>Robert DiCicco</t>
  </si>
  <si>
    <t xml:space="preserve">David John Silverman TAGs Speaker </t>
  </si>
  <si>
    <t>Ted Powers</t>
  </si>
  <si>
    <t>Laureen Rueckner</t>
  </si>
  <si>
    <t>Yoga Instructor</t>
  </si>
  <si>
    <t>Adam Feldman</t>
  </si>
  <si>
    <t>Emily Schneider</t>
  </si>
  <si>
    <t>Michael Mansueto Leidig</t>
  </si>
  <si>
    <t>Big Smile Entertainment</t>
  </si>
  <si>
    <t>Professional Fees 10-16-80050-02</t>
  </si>
  <si>
    <t>Unemployment Sevices Corp</t>
  </si>
  <si>
    <t>HR Concepts</t>
  </si>
  <si>
    <t>Optum</t>
  </si>
  <si>
    <t>The Angell Pension Group Inc</t>
  </si>
  <si>
    <t>Professional Fees 10-10-80050-02</t>
  </si>
  <si>
    <t>AV Powell &amp; Associates</t>
  </si>
  <si>
    <t>BLX Group</t>
  </si>
  <si>
    <t>Decrease Ln 2.23</t>
  </si>
  <si>
    <t xml:space="preserve">NOTE: Above account is included in Management Consultants on Table 3, Line 2.23. However, several amounts are to be reclassified as they relate to agency nursing, contracted MDS, pharmacy consulting, and social service purchased services. </t>
  </si>
  <si>
    <t>See below for breakout between Ln 2.23 and Other Business Expenses</t>
  </si>
  <si>
    <t>MDS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</si>
</sst>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0.0"/>
    <numFmt numFmtId="166" formatCode="0.000000"/>
  </numFmts>
  <fonts count="29" x14ac:knownFonts="1">
    <font>
      <sz val="10"/>
      <color theme="1"/>
      <name val="Arial"/>
      <family val="2"/>
    </font>
    <font>
      <sz val="10"/>
      <color theme="1"/>
      <name val="Arial"/>
      <family val="2"/>
    </font>
    <font>
      <b/>
      <sz val="10"/>
      <color theme="1"/>
      <name val="Arial"/>
      <family val="2"/>
    </font>
    <font>
      <sz val="9"/>
      <color indexed="81"/>
      <name val="Tahoma"/>
      <family val="2"/>
    </font>
    <font>
      <b/>
      <sz val="9"/>
      <color indexed="81"/>
      <name val="Tahoma"/>
      <family val="2"/>
    </font>
    <font>
      <sz val="9"/>
      <color indexed="81"/>
      <name val="Tahoma"/>
      <charset val="1"/>
    </font>
    <font>
      <b/>
      <sz val="9"/>
      <color indexed="81"/>
      <name val="Tahoma"/>
      <charset val="1"/>
    </font>
    <font>
      <sz val="10"/>
      <color rgb="FFFF0000"/>
      <name val="Arial"/>
      <family val="2"/>
    </font>
    <font>
      <sz val="10"/>
      <color rgb="FF000000"/>
      <name val="ARIAL"/>
    </font>
    <font>
      <b/>
      <sz val="10"/>
      <color rgb="FF000000"/>
      <name val="Arial"/>
      <family val="2"/>
    </font>
    <font>
      <sz val="10"/>
      <color rgb="FF000000"/>
      <name val="Arial"/>
      <family val="2"/>
    </font>
    <font>
      <b/>
      <sz val="10"/>
      <color rgb="FFFF0000"/>
      <name val="Arial"/>
      <family val="2"/>
    </font>
    <font>
      <sz val="10"/>
      <name val="Arial"/>
      <family val="2"/>
    </font>
    <font>
      <b/>
      <sz val="10"/>
      <name val="Arial"/>
      <family val="2"/>
    </font>
    <font>
      <sz val="11"/>
      <color theme="1"/>
      <name val="Calibri"/>
      <family val="2"/>
      <scheme val="minor"/>
    </font>
    <font>
      <b/>
      <i/>
      <sz val="10"/>
      <color theme="1"/>
      <name val="Calibri"/>
      <family val="2"/>
      <scheme val="minor"/>
    </font>
    <font>
      <sz val="10"/>
      <color theme="1"/>
      <name val="Calibri"/>
      <family val="2"/>
      <scheme val="minor"/>
    </font>
    <font>
      <sz val="10"/>
      <color rgb="FFFF0000"/>
      <name val="Calibri"/>
      <family val="2"/>
      <scheme val="minor"/>
    </font>
    <font>
      <b/>
      <sz val="10"/>
      <color theme="1"/>
      <name val="Calibri"/>
      <family val="2"/>
      <scheme val="minor"/>
    </font>
    <font>
      <b/>
      <sz val="10"/>
      <color rgb="FFFF0000"/>
      <name val="Calibri"/>
      <family val="2"/>
      <scheme val="minor"/>
    </font>
    <font>
      <b/>
      <sz val="11"/>
      <color theme="1"/>
      <name val="Calibri"/>
      <family val="2"/>
      <scheme val="minor"/>
    </font>
    <font>
      <b/>
      <sz val="11"/>
      <color rgb="FFFF0000"/>
      <name val="Calibri"/>
      <family val="2"/>
      <scheme val="minor"/>
    </font>
    <font>
      <sz val="11"/>
      <name val="Calibri"/>
      <family val="2"/>
      <scheme val="minor"/>
    </font>
    <font>
      <sz val="11"/>
      <color rgb="FFFF0000"/>
      <name val="Calibri"/>
      <family val="2"/>
      <scheme val="minor"/>
    </font>
    <font>
      <b/>
      <sz val="11"/>
      <color rgb="FF0070C0"/>
      <name val="Calibri"/>
      <family val="2"/>
      <scheme val="minor"/>
    </font>
    <font>
      <b/>
      <sz val="10"/>
      <color theme="1"/>
      <name val="Calibri"/>
      <family val="2"/>
    </font>
    <font>
      <b/>
      <sz val="9"/>
      <name val="Calibri"/>
      <family val="2"/>
    </font>
    <font>
      <b/>
      <sz val="10"/>
      <name val="Calibri"/>
      <family val="2"/>
    </font>
    <font>
      <b/>
      <sz val="9"/>
      <color rgb="FFFF0000"/>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00B0F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9"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0" fontId="8" fillId="0" borderId="0"/>
    <xf numFmtId="43" fontId="8" fillId="0" borderId="0" applyFont="0" applyFill="0" applyBorder="0" applyAlignment="0" applyProtection="0"/>
    <xf numFmtId="0" fontId="14" fillId="0" borderId="0"/>
    <xf numFmtId="43" fontId="14" fillId="0" borderId="0" applyFont="0" applyFill="0" applyBorder="0" applyAlignment="0" applyProtection="0"/>
  </cellStyleXfs>
  <cellXfs count="178">
    <xf numFmtId="0" fontId="0" fillId="0" borderId="0" xfId="0"/>
    <xf numFmtId="0" fontId="2" fillId="0" borderId="0" xfId="0" applyFont="1"/>
    <xf numFmtId="0" fontId="2" fillId="0" borderId="0" xfId="0" applyFont="1" applyAlignment="1">
      <alignment wrapText="1"/>
    </xf>
    <xf numFmtId="164" fontId="2" fillId="0" borderId="0" xfId="1" applyNumberFormat="1" applyFont="1"/>
    <xf numFmtId="164" fontId="0" fillId="0" borderId="0" xfId="1" applyNumberFormat="1" applyFont="1"/>
    <xf numFmtId="164" fontId="1" fillId="0" borderId="0" xfId="1" applyNumberFormat="1" applyFont="1"/>
    <xf numFmtId="0" fontId="2" fillId="0" borderId="1" xfId="0" applyFont="1" applyBorder="1" applyAlignment="1">
      <alignment horizontal="center" wrapText="1"/>
    </xf>
    <xf numFmtId="164" fontId="0" fillId="0" borderId="0" xfId="0" applyNumberFormat="1"/>
    <xf numFmtId="164" fontId="2" fillId="0" borderId="0" xfId="0" applyNumberFormat="1" applyFont="1"/>
    <xf numFmtId="0" fontId="2" fillId="0" borderId="2" xfId="0" applyFont="1" applyBorder="1"/>
    <xf numFmtId="0" fontId="0" fillId="0" borderId="3" xfId="0" applyBorder="1"/>
    <xf numFmtId="164" fontId="1" fillId="0" borderId="3" xfId="1" applyNumberFormat="1" applyFont="1" applyBorder="1"/>
    <xf numFmtId="164" fontId="1" fillId="0" borderId="4" xfId="1" applyNumberFormat="1" applyFont="1" applyBorder="1"/>
    <xf numFmtId="0" fontId="2" fillId="0" borderId="5" xfId="0" applyFont="1" applyBorder="1"/>
    <xf numFmtId="164" fontId="1" fillId="0" borderId="0" xfId="1" applyNumberFormat="1" applyFont="1" applyBorder="1"/>
    <xf numFmtId="164" fontId="1" fillId="0" borderId="6" xfId="1" applyNumberFormat="1" applyFont="1" applyBorder="1"/>
    <xf numFmtId="0" fontId="2" fillId="0" borderId="5" xfId="0" quotePrefix="1" applyFont="1" applyBorder="1"/>
    <xf numFmtId="164" fontId="2" fillId="0" borderId="0" xfId="1" applyNumberFormat="1" applyFont="1" applyBorder="1"/>
    <xf numFmtId="164" fontId="2" fillId="0" borderId="6" xfId="1" applyNumberFormat="1" applyFont="1" applyBorder="1"/>
    <xf numFmtId="2" fontId="2" fillId="0" borderId="5" xfId="0" applyNumberFormat="1" applyFont="1" applyBorder="1"/>
    <xf numFmtId="0" fontId="0" fillId="0" borderId="6" xfId="0" applyBorder="1"/>
    <xf numFmtId="164" fontId="0" fillId="0" borderId="0" xfId="1" applyNumberFormat="1" applyFont="1" applyBorder="1"/>
    <xf numFmtId="164" fontId="0" fillId="0" borderId="6" xfId="1" applyNumberFormat="1" applyFont="1" applyBorder="1"/>
    <xf numFmtId="164" fontId="2" fillId="0" borderId="6" xfId="0" applyNumberFormat="1" applyFont="1" applyBorder="1"/>
    <xf numFmtId="0" fontId="2" fillId="0" borderId="7" xfId="0" applyFont="1" applyBorder="1"/>
    <xf numFmtId="0" fontId="2" fillId="0" borderId="8" xfId="0" applyFont="1" applyBorder="1"/>
    <xf numFmtId="164" fontId="2" fillId="0" borderId="8" xfId="0" applyNumberFormat="1" applyFont="1" applyBorder="1"/>
    <xf numFmtId="164" fontId="2" fillId="0" borderId="9" xfId="0" applyNumberFormat="1" applyFont="1" applyBorder="1"/>
    <xf numFmtId="164" fontId="0" fillId="0" borderId="5" xfId="1" applyNumberFormat="1" applyFont="1" applyBorder="1"/>
    <xf numFmtId="0" fontId="2" fillId="0" borderId="5" xfId="0" quotePrefix="1" applyFont="1" applyBorder="1" applyAlignment="1">
      <alignment horizontal="right"/>
    </xf>
    <xf numFmtId="0" fontId="2" fillId="0" borderId="5" xfId="0" applyFont="1" applyBorder="1" applyAlignment="1">
      <alignment horizontal="right"/>
    </xf>
    <xf numFmtId="2" fontId="2" fillId="0" borderId="5" xfId="0" applyNumberFormat="1" applyFont="1" applyBorder="1" applyAlignment="1">
      <alignment horizontal="right"/>
    </xf>
    <xf numFmtId="0" fontId="2" fillId="0" borderId="7" xfId="0" applyFont="1" applyBorder="1" applyAlignment="1">
      <alignment horizontal="right"/>
    </xf>
    <xf numFmtId="0" fontId="2" fillId="0" borderId="0" xfId="0" applyFont="1" applyAlignment="1">
      <alignment horizontal="right"/>
    </xf>
    <xf numFmtId="164" fontId="0" fillId="2" borderId="0" xfId="1" applyNumberFormat="1" applyFont="1" applyFill="1" applyBorder="1"/>
    <xf numFmtId="164" fontId="0" fillId="2" borderId="0" xfId="1" applyNumberFormat="1" applyFont="1" applyFill="1"/>
    <xf numFmtId="164" fontId="0" fillId="0" borderId="0" xfId="1" applyNumberFormat="1" applyFont="1" applyFill="1" applyBorder="1"/>
    <xf numFmtId="164" fontId="0" fillId="0" borderId="0" xfId="1" applyNumberFormat="1" applyFont="1" applyFill="1"/>
    <xf numFmtId="165" fontId="2" fillId="0" borderId="5" xfId="0" applyNumberFormat="1" applyFont="1" applyBorder="1" applyAlignment="1">
      <alignment horizontal="right"/>
    </xf>
    <xf numFmtId="164" fontId="1" fillId="0" borderId="5" xfId="1" applyNumberFormat="1" applyFont="1" applyBorder="1"/>
    <xf numFmtId="164" fontId="1" fillId="2" borderId="3" xfId="1" applyNumberFormat="1" applyFont="1" applyFill="1" applyBorder="1"/>
    <xf numFmtId="164" fontId="1" fillId="2" borderId="0" xfId="1" applyNumberFormat="1" applyFont="1" applyFill="1" applyBorder="1"/>
    <xf numFmtId="0" fontId="0" fillId="2" borderId="0" xfId="0" applyFill="1"/>
    <xf numFmtId="0" fontId="2" fillId="0" borderId="5" xfId="0" quotePrefix="1" applyFont="1" applyBorder="1" applyAlignment="1">
      <alignment horizontal="left"/>
    </xf>
    <xf numFmtId="0" fontId="2" fillId="0" borderId="5" xfId="0" applyFont="1" applyBorder="1" applyAlignment="1">
      <alignment horizontal="left"/>
    </xf>
    <xf numFmtId="0" fontId="9" fillId="0" borderId="0" xfId="2" applyFont="1"/>
    <xf numFmtId="0" fontId="8" fillId="0" borderId="0" xfId="2"/>
    <xf numFmtId="14" fontId="9" fillId="0" borderId="0" xfId="2" applyNumberFormat="1" applyFont="1" applyAlignment="1">
      <alignment horizontal="left"/>
    </xf>
    <xf numFmtId="0" fontId="9" fillId="0" borderId="0" xfId="2" applyFont="1" applyAlignment="1">
      <alignment horizontal="center"/>
    </xf>
    <xf numFmtId="0" fontId="8" fillId="0" borderId="0" xfId="2" applyAlignment="1">
      <alignment horizontal="center"/>
    </xf>
    <xf numFmtId="43" fontId="0" fillId="0" borderId="0" xfId="3" applyFont="1"/>
    <xf numFmtId="164" fontId="0" fillId="0" borderId="0" xfId="3" applyNumberFormat="1" applyFont="1"/>
    <xf numFmtId="164" fontId="8" fillId="0" borderId="0" xfId="2" applyNumberFormat="1"/>
    <xf numFmtId="0" fontId="10" fillId="0" borderId="0" xfId="2" applyFont="1"/>
    <xf numFmtId="43" fontId="0" fillId="0" borderId="8" xfId="3" applyFont="1" applyBorder="1"/>
    <xf numFmtId="164" fontId="0" fillId="0" borderId="8" xfId="3" applyNumberFormat="1" applyFont="1" applyBorder="1"/>
    <xf numFmtId="164" fontId="7" fillId="0" borderId="0" xfId="3" applyNumberFormat="1" applyFont="1"/>
    <xf numFmtId="0" fontId="7" fillId="0" borderId="0" xfId="2" applyFont="1"/>
    <xf numFmtId="164" fontId="10" fillId="0" borderId="0" xfId="3" applyNumberFormat="1" applyFont="1"/>
    <xf numFmtId="0" fontId="11" fillId="0" borderId="0" xfId="2" applyFont="1"/>
    <xf numFmtId="0" fontId="8" fillId="0" borderId="0" xfId="2" applyAlignment="1">
      <alignment wrapText="1"/>
    </xf>
    <xf numFmtId="0" fontId="8" fillId="3" borderId="0" xfId="2" applyFill="1" applyAlignment="1">
      <alignment wrapText="1"/>
    </xf>
    <xf numFmtId="0" fontId="8" fillId="4" borderId="0" xfId="2" applyFill="1" applyAlignment="1">
      <alignment wrapText="1"/>
    </xf>
    <xf numFmtId="0" fontId="8" fillId="5" borderId="0" xfId="2" applyFill="1" applyAlignment="1">
      <alignment wrapText="1"/>
    </xf>
    <xf numFmtId="0" fontId="7" fillId="6" borderId="0" xfId="2" applyFont="1" applyFill="1" applyAlignment="1">
      <alignment wrapText="1"/>
    </xf>
    <xf numFmtId="0" fontId="11" fillId="0" borderId="0" xfId="2" applyFont="1" applyAlignment="1">
      <alignment wrapText="1"/>
    </xf>
    <xf numFmtId="164" fontId="0" fillId="0" borderId="0" xfId="3" applyNumberFormat="1" applyFont="1" applyFill="1"/>
    <xf numFmtId="164" fontId="7" fillId="0" borderId="0" xfId="3" applyNumberFormat="1" applyFont="1" applyFill="1"/>
    <xf numFmtId="164" fontId="7" fillId="0" borderId="0" xfId="3" quotePrefix="1" applyNumberFormat="1" applyFont="1" applyFill="1"/>
    <xf numFmtId="166" fontId="8" fillId="0" borderId="0" xfId="2" applyNumberFormat="1"/>
    <xf numFmtId="0" fontId="12" fillId="0" borderId="0" xfId="2" applyFont="1"/>
    <xf numFmtId="164" fontId="12" fillId="0" borderId="0" xfId="3" applyNumberFormat="1" applyFont="1" applyFill="1"/>
    <xf numFmtId="164" fontId="9" fillId="0" borderId="0" xfId="3" applyNumberFormat="1" applyFont="1"/>
    <xf numFmtId="164" fontId="9" fillId="3" borderId="0" xfId="3" applyNumberFormat="1" applyFont="1" applyFill="1"/>
    <xf numFmtId="164" fontId="9" fillId="4" borderId="0" xfId="3" applyNumberFormat="1" applyFont="1" applyFill="1"/>
    <xf numFmtId="164" fontId="9" fillId="5" borderId="0" xfId="3" applyNumberFormat="1" applyFont="1" applyFill="1"/>
    <xf numFmtId="164" fontId="11" fillId="6" borderId="0" xfId="3" applyNumberFormat="1" applyFont="1" applyFill="1"/>
    <xf numFmtId="164" fontId="11" fillId="0" borderId="0" xfId="3" applyNumberFormat="1" applyFont="1"/>
    <xf numFmtId="43" fontId="11" fillId="0" borderId="0" xfId="3" applyFont="1" applyFill="1"/>
    <xf numFmtId="0" fontId="8" fillId="0" borderId="3" xfId="2" applyBorder="1"/>
    <xf numFmtId="164" fontId="0" fillId="0" borderId="3" xfId="3" applyNumberFormat="1" applyFont="1" applyBorder="1"/>
    <xf numFmtId="164" fontId="7" fillId="0" borderId="3" xfId="3" applyNumberFormat="1" applyFont="1" applyBorder="1"/>
    <xf numFmtId="0" fontId="13" fillId="0" borderId="0" xfId="2" applyFont="1"/>
    <xf numFmtId="164" fontId="7" fillId="0" borderId="0" xfId="2" applyNumberFormat="1" applyFont="1"/>
    <xf numFmtId="0" fontId="9" fillId="0" borderId="0" xfId="2" applyFont="1" applyAlignment="1">
      <alignment wrapText="1"/>
    </xf>
    <xf numFmtId="0" fontId="9" fillId="0" borderId="0" xfId="2" applyFont="1" applyAlignment="1">
      <alignment horizontal="center" wrapText="1"/>
    </xf>
    <xf numFmtId="164" fontId="9" fillId="0" borderId="0" xfId="3" applyNumberFormat="1" applyFont="1" applyBorder="1"/>
    <xf numFmtId="43" fontId="9" fillId="0" borderId="0" xfId="3" applyFont="1"/>
    <xf numFmtId="164" fontId="8" fillId="3" borderId="0" xfId="2" applyNumberFormat="1" applyFill="1"/>
    <xf numFmtId="164" fontId="8" fillId="4" borderId="0" xfId="2" applyNumberFormat="1" applyFill="1"/>
    <xf numFmtId="164" fontId="8" fillId="6" borderId="0" xfId="2" applyNumberFormat="1" applyFill="1"/>
    <xf numFmtId="164" fontId="8" fillId="5" borderId="0" xfId="2" applyNumberFormat="1" applyFill="1"/>
    <xf numFmtId="164" fontId="9" fillId="0" borderId="0" xfId="2" applyNumberFormat="1" applyFont="1"/>
    <xf numFmtId="164" fontId="9" fillId="0" borderId="10" xfId="2" applyNumberFormat="1" applyFont="1" applyBorder="1"/>
    <xf numFmtId="0" fontId="7" fillId="0" borderId="3" xfId="2" applyFont="1" applyBorder="1"/>
    <xf numFmtId="43" fontId="8" fillId="0" borderId="0" xfId="2" applyNumberFormat="1"/>
    <xf numFmtId="0" fontId="15" fillId="7" borderId="0" xfId="4" applyFont="1" applyFill="1"/>
    <xf numFmtId="0" fontId="16" fillId="7" borderId="0" xfId="4" applyFont="1" applyFill="1"/>
    <xf numFmtId="0" fontId="16" fillId="0" borderId="0" xfId="4" applyFont="1"/>
    <xf numFmtId="0" fontId="17" fillId="0" borderId="0" xfId="4" applyFont="1"/>
    <xf numFmtId="0" fontId="18" fillId="0" borderId="0" xfId="4" applyFont="1"/>
    <xf numFmtId="17" fontId="18" fillId="0" borderId="0" xfId="4" applyNumberFormat="1" applyFont="1"/>
    <xf numFmtId="0" fontId="19" fillId="0" borderId="0" xfId="4" applyFont="1"/>
    <xf numFmtId="40" fontId="16" fillId="0" borderId="0" xfId="4" applyNumberFormat="1" applyFont="1"/>
    <xf numFmtId="40" fontId="17" fillId="0" borderId="0" xfId="4" applyNumberFormat="1" applyFont="1"/>
    <xf numFmtId="40" fontId="17" fillId="0" borderId="8" xfId="4" applyNumberFormat="1" applyFont="1" applyBorder="1"/>
    <xf numFmtId="0" fontId="16" fillId="0" borderId="0" xfId="4" applyFont="1" applyAlignment="1">
      <alignment wrapText="1"/>
    </xf>
    <xf numFmtId="2" fontId="17" fillId="0" borderId="0" xfId="4" applyNumberFormat="1" applyFont="1"/>
    <xf numFmtId="0" fontId="18" fillId="8" borderId="0" xfId="4" applyFont="1" applyFill="1"/>
    <xf numFmtId="40" fontId="18" fillId="8" borderId="0" xfId="4" applyNumberFormat="1" applyFont="1" applyFill="1"/>
    <xf numFmtId="0" fontId="20" fillId="0" borderId="0" xfId="4" applyFont="1"/>
    <xf numFmtId="0" fontId="14" fillId="0" borderId="0" xfId="4"/>
    <xf numFmtId="0" fontId="14" fillId="9" borderId="0" xfId="4" applyFill="1"/>
    <xf numFmtId="3" fontId="14" fillId="9" borderId="0" xfId="4" applyNumberFormat="1" applyFill="1" applyAlignment="1">
      <alignment horizontal="center"/>
    </xf>
    <xf numFmtId="0" fontId="21" fillId="10" borderId="0" xfId="4" applyFont="1" applyFill="1"/>
    <xf numFmtId="3" fontId="14" fillId="0" borderId="0" xfId="4" applyNumberFormat="1"/>
    <xf numFmtId="0" fontId="21" fillId="0" borderId="8" xfId="4" applyFont="1" applyBorder="1" applyAlignment="1">
      <alignment horizontal="center"/>
    </xf>
    <xf numFmtId="0" fontId="21" fillId="0" borderId="0" xfId="4" applyFont="1"/>
    <xf numFmtId="0" fontId="14" fillId="11" borderId="0" xfId="4" applyFill="1"/>
    <xf numFmtId="0" fontId="20" fillId="11" borderId="11" xfId="4" applyFont="1" applyFill="1" applyBorder="1"/>
    <xf numFmtId="0" fontId="14" fillId="11" borderId="12" xfId="4" applyFill="1" applyBorder="1"/>
    <xf numFmtId="3" fontId="14" fillId="11" borderId="13" xfId="4" applyNumberFormat="1" applyFill="1" applyBorder="1"/>
    <xf numFmtId="0" fontId="14" fillId="0" borderId="0" xfId="4" quotePrefix="1"/>
    <xf numFmtId="0" fontId="22" fillId="11" borderId="0" xfId="4" applyFont="1" applyFill="1"/>
    <xf numFmtId="0" fontId="14" fillId="11" borderId="14" xfId="4" applyFill="1" applyBorder="1"/>
    <xf numFmtId="0" fontId="14" fillId="11" borderId="0" xfId="4" quotePrefix="1" applyFill="1"/>
    <xf numFmtId="3" fontId="20" fillId="11" borderId="15" xfId="4" applyNumberFormat="1" applyFont="1" applyFill="1" applyBorder="1"/>
    <xf numFmtId="0" fontId="21" fillId="11" borderId="0" xfId="4" applyFont="1" applyFill="1"/>
    <xf numFmtId="3" fontId="14" fillId="3" borderId="0" xfId="4" applyNumberFormat="1" applyFill="1"/>
    <xf numFmtId="0" fontId="23" fillId="0" borderId="0" xfId="4" applyFont="1"/>
    <xf numFmtId="3" fontId="21" fillId="0" borderId="0" xfId="4" applyNumberFormat="1" applyFont="1"/>
    <xf numFmtId="0" fontId="24" fillId="0" borderId="0" xfId="4" applyFont="1"/>
    <xf numFmtId="0" fontId="14" fillId="11" borderId="16" xfId="4" applyFill="1" applyBorder="1"/>
    <xf numFmtId="0" fontId="14" fillId="11" borderId="17" xfId="4" applyFill="1" applyBorder="1"/>
    <xf numFmtId="3" fontId="20" fillId="11" borderId="18" xfId="4" applyNumberFormat="1" applyFont="1" applyFill="1" applyBorder="1"/>
    <xf numFmtId="3" fontId="14" fillId="12" borderId="0" xfId="4" applyNumberFormat="1" applyFill="1"/>
    <xf numFmtId="3" fontId="23" fillId="0" borderId="0" xfId="4" applyNumberFormat="1" applyFont="1"/>
    <xf numFmtId="0" fontId="14" fillId="11" borderId="11" xfId="4" applyFill="1" applyBorder="1"/>
    <xf numFmtId="0" fontId="14" fillId="11" borderId="12" xfId="4" quotePrefix="1" applyFill="1" applyBorder="1"/>
    <xf numFmtId="3" fontId="20" fillId="11" borderId="13" xfId="4" applyNumberFormat="1" applyFont="1" applyFill="1" applyBorder="1"/>
    <xf numFmtId="164" fontId="0" fillId="0" borderId="0" xfId="5" applyNumberFormat="1" applyFont="1"/>
    <xf numFmtId="3" fontId="21" fillId="0" borderId="8" xfId="4" applyNumberFormat="1" applyFont="1" applyBorder="1"/>
    <xf numFmtId="164" fontId="0" fillId="0" borderId="8" xfId="5" applyNumberFormat="1" applyFont="1" applyBorder="1"/>
    <xf numFmtId="4" fontId="14" fillId="0" borderId="0" xfId="4" applyNumberFormat="1"/>
    <xf numFmtId="3" fontId="21" fillId="0" borderId="20" xfId="4" applyNumberFormat="1" applyFont="1" applyBorder="1"/>
    <xf numFmtId="164" fontId="20" fillId="0" borderId="20" xfId="5" applyNumberFormat="1" applyFont="1" applyBorder="1"/>
    <xf numFmtId="4" fontId="21" fillId="0" borderId="0" xfId="4" applyNumberFormat="1" applyFont="1"/>
    <xf numFmtId="4" fontId="20" fillId="0" borderId="8" xfId="4" applyNumberFormat="1" applyFont="1" applyBorder="1" applyAlignment="1">
      <alignment horizontal="center"/>
    </xf>
    <xf numFmtId="0" fontId="21" fillId="0" borderId="0" xfId="4" applyFont="1" applyAlignment="1">
      <alignment horizontal="center"/>
    </xf>
    <xf numFmtId="9" fontId="14" fillId="0" borderId="0" xfId="4" applyNumberFormat="1"/>
    <xf numFmtId="164" fontId="14" fillId="0" borderId="0" xfId="4" applyNumberFormat="1"/>
    <xf numFmtId="0" fontId="14" fillId="0" borderId="8" xfId="4" applyBorder="1"/>
    <xf numFmtId="164" fontId="20" fillId="0" borderId="8" xfId="5" applyNumberFormat="1" applyFont="1" applyBorder="1"/>
    <xf numFmtId="164" fontId="21" fillId="0" borderId="0" xfId="5" applyNumberFormat="1" applyFont="1" applyFill="1"/>
    <xf numFmtId="164" fontId="21" fillId="0" borderId="8" xfId="5" applyNumberFormat="1" applyFont="1" applyFill="1" applyBorder="1"/>
    <xf numFmtId="164" fontId="20" fillId="0" borderId="0" xfId="5" applyNumberFormat="1" applyFont="1" applyFill="1"/>
    <xf numFmtId="4" fontId="20" fillId="0" borderId="0" xfId="4" applyNumberFormat="1" applyFont="1"/>
    <xf numFmtId="4" fontId="21" fillId="0" borderId="0" xfId="4" applyNumberFormat="1" applyFont="1" applyAlignment="1">
      <alignment horizontal="center"/>
    </xf>
    <xf numFmtId="4" fontId="21" fillId="0" borderId="0" xfId="4" quotePrefix="1" applyNumberFormat="1" applyFont="1"/>
    <xf numFmtId="4" fontId="21" fillId="0" borderId="19" xfId="4" quotePrefix="1" applyNumberFormat="1" applyFont="1" applyBorder="1"/>
    <xf numFmtId="164" fontId="0" fillId="0" borderId="0" xfId="5" applyNumberFormat="1" applyFont="1" applyFill="1"/>
    <xf numFmtId="0" fontId="23" fillId="0" borderId="0" xfId="4" applyFont="1" applyAlignment="1">
      <alignment horizontal="center"/>
    </xf>
    <xf numFmtId="0" fontId="25" fillId="0" borderId="0" xfId="4" applyFont="1"/>
    <xf numFmtId="0" fontId="26" fillId="0" borderId="0" xfId="4" applyFont="1"/>
    <xf numFmtId="0" fontId="27" fillId="0" borderId="0" xfId="4" applyFont="1"/>
    <xf numFmtId="4" fontId="27" fillId="0" borderId="0" xfId="4" applyNumberFormat="1" applyFont="1"/>
    <xf numFmtId="4" fontId="25" fillId="0" borderId="0" xfId="4" applyNumberFormat="1" applyFont="1"/>
    <xf numFmtId="43" fontId="26" fillId="0" borderId="0" xfId="4" applyNumberFormat="1" applyFont="1"/>
    <xf numFmtId="0" fontId="27" fillId="0" borderId="21" xfId="4" applyFont="1" applyBorder="1"/>
    <xf numFmtId="4" fontId="27" fillId="6" borderId="21" xfId="4" applyNumberFormat="1" applyFont="1" applyFill="1" applyBorder="1"/>
    <xf numFmtId="4" fontId="27" fillId="4" borderId="21" xfId="4" applyNumberFormat="1" applyFont="1" applyFill="1" applyBorder="1"/>
    <xf numFmtId="4" fontId="26" fillId="0" borderId="0" xfId="4" applyNumberFormat="1" applyFont="1"/>
    <xf numFmtId="4" fontId="26" fillId="0" borderId="10" xfId="4" applyNumberFormat="1" applyFont="1" applyBorder="1"/>
    <xf numFmtId="0" fontId="26" fillId="0" borderId="0" xfId="4" applyFont="1" applyAlignment="1">
      <alignment horizontal="right"/>
    </xf>
    <xf numFmtId="0" fontId="26" fillId="4" borderId="0" xfId="4" applyFont="1" applyFill="1"/>
    <xf numFmtId="14" fontId="0" fillId="0" borderId="0" xfId="0" applyNumberFormat="1" applyAlignment="1">
      <alignment horizontal="left"/>
    </xf>
    <xf numFmtId="2" fontId="28" fillId="0" borderId="0" xfId="4" applyNumberFormat="1" applyFont="1" applyAlignment="1">
      <alignment horizontal="justify" vertical="top" wrapText="1"/>
    </xf>
    <xf numFmtId="2" fontId="7" fillId="0" borderId="0" xfId="0" applyNumberFormat="1" applyFont="1" applyAlignment="1">
      <alignment horizontal="justify" vertical="top" wrapText="1"/>
    </xf>
  </cellXfs>
  <cellStyles count="6">
    <cellStyle name="Comma" xfId="1" builtinId="3"/>
    <cellStyle name="Comma 2" xfId="3" xr:uid="{96FC60F3-8DF6-428A-AED3-997F6768E7A1}"/>
    <cellStyle name="Comma 3" xfId="5" xr:uid="{F486208D-270D-4EC8-B236-C5E1D93074FF}"/>
    <cellStyle name="Normal" xfId="0" builtinId="0"/>
    <cellStyle name="Normal 2" xfId="2" xr:uid="{1A33F213-BAD2-4F68-A497-BFC2C80BD110}"/>
    <cellStyle name="Normal 3" xfId="4" xr:uid="{8313FF83-54F5-4E3F-B624-378651A163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bakertilly-my.sharepoint.com/personal/deandra_fallon_bakertilly_com/Documents/Documents/Cost%20Reports/SNF/2022/12.31.22/North%20Hill/Footnotes/Copy%20of%20Wage%20Info%20CY%202022.xlsx" TargetMode="External"/><Relationship Id="rId1" Type="http://schemas.openxmlformats.org/officeDocument/2006/relationships/externalLinkPath" Target="Copy%20of%20Wage%20Info%20CY%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T Summary"/>
      <sheetName val="BT Allocation"/>
      <sheetName val="Hours &amp; $ BT"/>
      <sheetName val="Hours BT"/>
      <sheetName val="shift Diff BT"/>
      <sheetName val="SD BT Summary"/>
      <sheetName val="Cost Report"/>
      <sheetName val="Sheet1"/>
      <sheetName val="shift Diff"/>
      <sheetName val="Sheet2"/>
      <sheetName val="Hours &amp; $"/>
      <sheetName val="Hours FTE Detail "/>
      <sheetName val="Sheet4"/>
      <sheetName val="PE 02 wages only CY22"/>
      <sheetName val="Top 6 Highest"/>
    </sheetNames>
    <sheetDataSet>
      <sheetData sheetId="0" refreshError="1"/>
      <sheetData sheetId="1" refreshError="1"/>
      <sheetData sheetId="2">
        <row r="22">
          <cell r="S22">
            <v>5718412.3199999994</v>
          </cell>
        </row>
      </sheetData>
      <sheetData sheetId="3" refreshError="1"/>
      <sheetData sheetId="4" refreshError="1"/>
      <sheetData sheetId="5">
        <row r="5">
          <cell r="A5" t="str">
            <v>Administrative Coordinator</v>
          </cell>
        </row>
        <row r="22">
          <cell r="P22">
            <v>262439.25</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8E26A-3185-4FBC-BB7B-0691C4607957}">
  <dimension ref="A1:K112"/>
  <sheetViews>
    <sheetView tabSelected="1" zoomScale="115" zoomScaleNormal="115" workbookViewId="0">
      <pane ySplit="6" topLeftCell="A7" activePane="bottomLeft" state="frozen"/>
      <selection pane="bottomLeft" activeCell="B17" sqref="B17"/>
    </sheetView>
  </sheetViews>
  <sheetFormatPr defaultRowHeight="13.2" x14ac:dyDescent="0.25"/>
  <cols>
    <col min="1" max="1" width="10.109375" bestFit="1" customWidth="1"/>
    <col min="2" max="2" width="46.88671875" bestFit="1" customWidth="1"/>
    <col min="3" max="3" width="12.5546875" customWidth="1"/>
    <col min="4" max="4" width="11.109375" bestFit="1" customWidth="1"/>
    <col min="5" max="5" width="10.44140625" bestFit="1" customWidth="1"/>
    <col min="6" max="6" width="12.77734375" customWidth="1"/>
    <col min="7" max="7" width="10.44140625" bestFit="1" customWidth="1"/>
  </cols>
  <sheetData>
    <row r="1" spans="1:11" x14ac:dyDescent="0.25">
      <c r="A1" t="s">
        <v>285</v>
      </c>
    </row>
    <row r="2" spans="1:11" x14ac:dyDescent="0.25">
      <c r="A2" t="s">
        <v>0</v>
      </c>
    </row>
    <row r="3" spans="1:11" x14ac:dyDescent="0.25">
      <c r="A3" s="175">
        <v>44926</v>
      </c>
    </row>
    <row r="5" spans="1:11" x14ac:dyDescent="0.25">
      <c r="A5" s="1" t="s">
        <v>1</v>
      </c>
      <c r="B5" s="1"/>
      <c r="C5" s="1"/>
      <c r="D5" s="1"/>
      <c r="E5" s="1"/>
      <c r="F5" s="1"/>
      <c r="G5" s="1"/>
      <c r="H5" s="1"/>
      <c r="I5" s="1"/>
      <c r="J5" s="1"/>
    </row>
    <row r="6" spans="1:11" ht="81.599999999999994" customHeight="1" x14ac:dyDescent="0.25">
      <c r="A6" s="6" t="s">
        <v>2</v>
      </c>
      <c r="B6" s="6" t="s">
        <v>3</v>
      </c>
      <c r="C6" s="6" t="s">
        <v>4</v>
      </c>
      <c r="D6" s="6" t="s">
        <v>5</v>
      </c>
      <c r="E6" s="6" t="s">
        <v>6</v>
      </c>
      <c r="F6" s="6" t="s">
        <v>7</v>
      </c>
      <c r="G6" s="6" t="s">
        <v>8</v>
      </c>
      <c r="H6" s="2"/>
      <c r="I6" s="2"/>
      <c r="J6" s="1"/>
    </row>
    <row r="7" spans="1:11" x14ac:dyDescent="0.25">
      <c r="A7" s="9">
        <v>1.1000000000000001</v>
      </c>
      <c r="B7" s="10" t="s">
        <v>10</v>
      </c>
      <c r="C7" s="11">
        <v>135951</v>
      </c>
      <c r="D7" s="40">
        <f>131744-C7</f>
        <v>-4207</v>
      </c>
      <c r="E7" s="11">
        <f>SUM(C7:D7)</f>
        <v>131744</v>
      </c>
      <c r="F7" s="40"/>
      <c r="G7" s="12">
        <f>E7-F7</f>
        <v>131744</v>
      </c>
      <c r="H7" s="5"/>
      <c r="I7" s="3"/>
      <c r="J7" s="3"/>
      <c r="K7" s="4"/>
    </row>
    <row r="8" spans="1:11" x14ac:dyDescent="0.25">
      <c r="A8" s="13">
        <v>1.2</v>
      </c>
      <c r="B8" t="s">
        <v>11</v>
      </c>
      <c r="C8" s="14">
        <v>0</v>
      </c>
      <c r="D8" s="41">
        <v>18043</v>
      </c>
      <c r="E8" s="14">
        <f t="shared" ref="E8:E12" si="0">SUM(C8:D8)</f>
        <v>18043</v>
      </c>
      <c r="F8" s="41"/>
      <c r="G8" s="15">
        <f t="shared" ref="G8:G12" si="1">E8-F8</f>
        <v>18043</v>
      </c>
      <c r="H8" s="5"/>
      <c r="I8" s="3"/>
      <c r="J8" s="3"/>
      <c r="K8" s="4"/>
    </row>
    <row r="9" spans="1:11" x14ac:dyDescent="0.25">
      <c r="A9" s="13">
        <v>1.3</v>
      </c>
      <c r="B9" t="s">
        <v>12</v>
      </c>
      <c r="C9" s="14">
        <v>0</v>
      </c>
      <c r="D9" s="41">
        <v>12838</v>
      </c>
      <c r="E9" s="14">
        <f t="shared" si="0"/>
        <v>12838</v>
      </c>
      <c r="F9" s="41"/>
      <c r="G9" s="15">
        <f t="shared" si="1"/>
        <v>12838</v>
      </c>
      <c r="H9" s="5"/>
      <c r="I9" s="4"/>
      <c r="J9" s="4"/>
      <c r="K9" s="4"/>
    </row>
    <row r="10" spans="1:11" x14ac:dyDescent="0.25">
      <c r="A10" s="30">
        <v>1.4</v>
      </c>
      <c r="B10" t="s">
        <v>13</v>
      </c>
      <c r="C10" s="14"/>
      <c r="D10" s="41"/>
      <c r="E10" s="14">
        <f t="shared" si="0"/>
        <v>0</v>
      </c>
      <c r="F10" s="41"/>
      <c r="G10" s="15">
        <f t="shared" si="1"/>
        <v>0</v>
      </c>
      <c r="H10" s="5"/>
      <c r="I10" s="4"/>
      <c r="J10" s="4"/>
      <c r="K10" s="4"/>
    </row>
    <row r="11" spans="1:11" x14ac:dyDescent="0.25">
      <c r="A11" s="30">
        <v>1.5</v>
      </c>
      <c r="B11" t="s">
        <v>14</v>
      </c>
      <c r="C11" s="14"/>
      <c r="D11" s="41"/>
      <c r="E11" s="14">
        <f t="shared" si="0"/>
        <v>0</v>
      </c>
      <c r="F11" s="41"/>
      <c r="G11" s="15">
        <f t="shared" si="1"/>
        <v>0</v>
      </c>
      <c r="H11" s="5"/>
      <c r="I11" s="4"/>
      <c r="J11" s="4"/>
      <c r="K11" s="4"/>
    </row>
    <row r="12" spans="1:11" x14ac:dyDescent="0.25">
      <c r="A12" s="30">
        <v>1.6</v>
      </c>
      <c r="B12" t="s">
        <v>15</v>
      </c>
      <c r="C12" s="14"/>
      <c r="D12" s="41"/>
      <c r="E12" s="14">
        <f t="shared" si="0"/>
        <v>0</v>
      </c>
      <c r="F12" s="41"/>
      <c r="G12" s="15">
        <f t="shared" si="1"/>
        <v>0</v>
      </c>
      <c r="H12" s="5"/>
      <c r="I12" s="4"/>
      <c r="J12" s="4"/>
      <c r="K12" s="4"/>
    </row>
    <row r="13" spans="1:11" x14ac:dyDescent="0.25">
      <c r="A13" s="29" t="s">
        <v>9</v>
      </c>
      <c r="B13" s="1" t="s">
        <v>16</v>
      </c>
      <c r="C13" s="17">
        <f>SUM(C7:C12)</f>
        <v>135951</v>
      </c>
      <c r="D13" s="17">
        <f>SUM(D7:D12)</f>
        <v>26674</v>
      </c>
      <c r="E13" s="17">
        <f>SUM(E7:E12)</f>
        <v>162625</v>
      </c>
      <c r="F13" s="17">
        <f>SUM(F7:F12)</f>
        <v>0</v>
      </c>
      <c r="G13" s="18">
        <f>SUM(G7:G12)</f>
        <v>162625</v>
      </c>
      <c r="H13" s="5"/>
      <c r="I13" s="4"/>
      <c r="J13" s="4"/>
      <c r="K13" s="4"/>
    </row>
    <row r="14" spans="1:11" x14ac:dyDescent="0.25">
      <c r="A14" s="30"/>
      <c r="C14" s="14"/>
      <c r="D14" s="14"/>
      <c r="E14" s="14"/>
      <c r="F14" s="14"/>
      <c r="G14" s="15"/>
      <c r="H14" s="5"/>
      <c r="I14" s="4"/>
      <c r="J14" s="4"/>
      <c r="K14" s="4"/>
    </row>
    <row r="15" spans="1:11" x14ac:dyDescent="0.25">
      <c r="A15" s="30">
        <v>1.7</v>
      </c>
      <c r="B15" t="s">
        <v>17</v>
      </c>
      <c r="C15" s="14">
        <v>2178537</v>
      </c>
      <c r="D15" s="41">
        <f>1327582-C15</f>
        <v>-850955</v>
      </c>
      <c r="E15" s="14">
        <f t="shared" ref="E15:E19" si="2">SUM(C15:D15)</f>
        <v>1327582</v>
      </c>
      <c r="F15" s="41"/>
      <c r="G15" s="15">
        <f t="shared" ref="G15:G19" si="3">E15-F15</f>
        <v>1327582</v>
      </c>
      <c r="H15" s="5"/>
      <c r="I15" s="4"/>
      <c r="J15" s="4"/>
      <c r="K15" s="4"/>
    </row>
    <row r="16" spans="1:11" x14ac:dyDescent="0.25">
      <c r="A16" s="30">
        <v>1.8</v>
      </c>
      <c r="B16" t="s">
        <v>18</v>
      </c>
      <c r="C16" s="14">
        <v>785089</v>
      </c>
      <c r="D16" s="41">
        <f>181818-C16</f>
        <v>-603271</v>
      </c>
      <c r="E16" s="14">
        <f t="shared" si="2"/>
        <v>181818</v>
      </c>
      <c r="F16" s="41"/>
      <c r="G16" s="15">
        <f t="shared" si="3"/>
        <v>181818</v>
      </c>
      <c r="H16" s="5"/>
      <c r="I16" s="4"/>
      <c r="J16" s="4"/>
      <c r="K16" s="4"/>
    </row>
    <row r="17" spans="1:11" x14ac:dyDescent="0.25">
      <c r="A17" s="30">
        <v>1.9</v>
      </c>
      <c r="B17" t="s">
        <v>19</v>
      </c>
      <c r="C17" s="14">
        <v>558622</v>
      </c>
      <c r="D17" s="41">
        <f>129371-C17</f>
        <v>-429251</v>
      </c>
      <c r="E17" s="14">
        <f t="shared" si="2"/>
        <v>129371</v>
      </c>
      <c r="F17" s="41"/>
      <c r="G17" s="15">
        <f t="shared" si="3"/>
        <v>129371</v>
      </c>
      <c r="H17" s="5"/>
      <c r="I17" s="4"/>
      <c r="J17" s="4"/>
      <c r="K17" s="4"/>
    </row>
    <row r="18" spans="1:11" x14ac:dyDescent="0.25">
      <c r="A18" s="31">
        <v>1.1000000000000001</v>
      </c>
      <c r="B18" t="s">
        <v>20</v>
      </c>
      <c r="C18" s="14"/>
      <c r="D18" s="41"/>
      <c r="E18" s="14">
        <f t="shared" si="2"/>
        <v>0</v>
      </c>
      <c r="F18" s="41"/>
      <c r="G18" s="15">
        <f t="shared" si="3"/>
        <v>0</v>
      </c>
      <c r="H18" s="5"/>
      <c r="I18" s="4"/>
      <c r="J18" s="4"/>
      <c r="K18" s="4"/>
    </row>
    <row r="19" spans="1:11" x14ac:dyDescent="0.25">
      <c r="A19" s="30">
        <v>1.1100000000000001</v>
      </c>
      <c r="B19" t="s">
        <v>21</v>
      </c>
      <c r="C19" s="14"/>
      <c r="D19" s="41">
        <f>606494-373285</f>
        <v>233209</v>
      </c>
      <c r="E19" s="14">
        <f t="shared" si="2"/>
        <v>233209</v>
      </c>
      <c r="F19" s="41"/>
      <c r="G19" s="15">
        <f t="shared" si="3"/>
        <v>233209</v>
      </c>
      <c r="H19" s="5"/>
      <c r="I19" s="4"/>
      <c r="J19" s="4"/>
      <c r="K19" s="4"/>
    </row>
    <row r="20" spans="1:11" x14ac:dyDescent="0.25">
      <c r="A20" s="29" t="s">
        <v>22</v>
      </c>
      <c r="B20" s="1" t="s">
        <v>23</v>
      </c>
      <c r="C20" s="17">
        <f>SUM(C14:C19)</f>
        <v>3522248</v>
      </c>
      <c r="D20" s="17">
        <f>SUM(D14:D19)</f>
        <v>-1650268</v>
      </c>
      <c r="E20" s="17">
        <f>SUM(E14:E19)</f>
        <v>1871980</v>
      </c>
      <c r="F20" s="17">
        <f>SUM(F14:F19)</f>
        <v>0</v>
      </c>
      <c r="G20" s="18">
        <f>SUM(G14:G19)</f>
        <v>1871980</v>
      </c>
      <c r="H20" s="5"/>
      <c r="I20" s="4"/>
      <c r="J20" s="4"/>
      <c r="K20" s="4"/>
    </row>
    <row r="21" spans="1:11" x14ac:dyDescent="0.25">
      <c r="A21" s="30"/>
      <c r="G21" s="20"/>
    </row>
    <row r="22" spans="1:11" x14ac:dyDescent="0.25">
      <c r="A22" s="30">
        <v>1.1200000000000001</v>
      </c>
      <c r="B22" t="s">
        <v>26</v>
      </c>
      <c r="C22" s="21">
        <v>560400</v>
      </c>
      <c r="D22" s="34">
        <f>673131-C22</f>
        <v>112731</v>
      </c>
      <c r="E22" s="14">
        <f t="shared" ref="E22:E26" si="4">SUM(C22:D22)</f>
        <v>673131</v>
      </c>
      <c r="F22" s="34"/>
      <c r="G22" s="15">
        <f t="shared" ref="G22:G26" si="5">E22-F22</f>
        <v>673131</v>
      </c>
      <c r="H22" s="4"/>
      <c r="I22" s="4"/>
    </row>
    <row r="23" spans="1:11" x14ac:dyDescent="0.25">
      <c r="A23" s="30">
        <v>1.1299999999999999</v>
      </c>
      <c r="B23" t="s">
        <v>27</v>
      </c>
      <c r="C23" s="21">
        <v>0</v>
      </c>
      <c r="D23" s="34">
        <v>92188</v>
      </c>
      <c r="E23" s="14">
        <f t="shared" si="4"/>
        <v>92188</v>
      </c>
      <c r="F23" s="34"/>
      <c r="G23" s="15">
        <f t="shared" si="5"/>
        <v>92188</v>
      </c>
      <c r="H23" s="4"/>
      <c r="I23" s="4"/>
    </row>
    <row r="24" spans="1:11" x14ac:dyDescent="0.25">
      <c r="A24" s="30">
        <v>1.1399999999999999</v>
      </c>
      <c r="B24" t="s">
        <v>28</v>
      </c>
      <c r="C24" s="21">
        <v>0</v>
      </c>
      <c r="D24" s="34">
        <v>65596</v>
      </c>
      <c r="E24" s="14">
        <f t="shared" si="4"/>
        <v>65596</v>
      </c>
      <c r="F24" s="34"/>
      <c r="G24" s="15">
        <f t="shared" si="5"/>
        <v>65596</v>
      </c>
      <c r="H24" s="4"/>
      <c r="I24" s="4"/>
    </row>
    <row r="25" spans="1:11" x14ac:dyDescent="0.25">
      <c r="A25" s="30">
        <v>1.1499999999999999</v>
      </c>
      <c r="B25" t="s">
        <v>29</v>
      </c>
      <c r="C25" s="21"/>
      <c r="D25" s="34"/>
      <c r="E25" s="14">
        <f t="shared" si="4"/>
        <v>0</v>
      </c>
      <c r="F25" s="34"/>
      <c r="G25" s="15">
        <f t="shared" si="5"/>
        <v>0</v>
      </c>
      <c r="H25" s="4"/>
      <c r="I25" s="4"/>
    </row>
    <row r="26" spans="1:11" x14ac:dyDescent="0.25">
      <c r="A26" s="30">
        <v>1.1599999999999999</v>
      </c>
      <c r="B26" t="s">
        <v>30</v>
      </c>
      <c r="C26" s="21"/>
      <c r="D26" s="34">
        <v>132750</v>
      </c>
      <c r="E26" s="14">
        <f t="shared" si="4"/>
        <v>132750</v>
      </c>
      <c r="F26" s="34"/>
      <c r="G26" s="15">
        <f t="shared" si="5"/>
        <v>132750</v>
      </c>
      <c r="H26" s="4"/>
      <c r="I26" s="4"/>
    </row>
    <row r="27" spans="1:11" x14ac:dyDescent="0.25">
      <c r="A27" s="29" t="s">
        <v>24</v>
      </c>
      <c r="B27" s="1" t="s">
        <v>25</v>
      </c>
      <c r="C27" s="17">
        <f>SUM(C22:C26)</f>
        <v>560400</v>
      </c>
      <c r="D27" s="17">
        <f t="shared" ref="D27:G27" si="6">SUM(D22:D26)</f>
        <v>403265</v>
      </c>
      <c r="E27" s="17">
        <f t="shared" si="6"/>
        <v>963665</v>
      </c>
      <c r="F27" s="17">
        <f t="shared" si="6"/>
        <v>0</v>
      </c>
      <c r="G27" s="18">
        <f t="shared" si="6"/>
        <v>963665</v>
      </c>
      <c r="H27" s="4"/>
      <c r="I27" s="4"/>
    </row>
    <row r="28" spans="1:11" x14ac:dyDescent="0.25">
      <c r="A28" s="30"/>
      <c r="C28" s="21"/>
      <c r="D28" s="21"/>
      <c r="E28" s="21"/>
      <c r="F28" s="21"/>
      <c r="G28" s="22"/>
      <c r="H28" s="4"/>
      <c r="I28" s="4"/>
    </row>
    <row r="29" spans="1:11" x14ac:dyDescent="0.25">
      <c r="A29" s="30">
        <v>1.17</v>
      </c>
      <c r="B29" t="s">
        <v>32</v>
      </c>
      <c r="C29" s="21">
        <v>2430988</v>
      </c>
      <c r="D29" s="34">
        <f>2846523-C29</f>
        <v>415535</v>
      </c>
      <c r="E29" s="14">
        <f t="shared" ref="E29:E33" si="7">SUM(C29:D29)</f>
        <v>2846523</v>
      </c>
      <c r="F29" s="34"/>
      <c r="G29" s="15">
        <f t="shared" ref="G29:G33" si="8">E29-F29</f>
        <v>2846523</v>
      </c>
      <c r="H29" s="4"/>
      <c r="I29" s="4"/>
    </row>
    <row r="30" spans="1:11" x14ac:dyDescent="0.25">
      <c r="A30" s="30">
        <v>1.18</v>
      </c>
      <c r="B30" t="s">
        <v>33</v>
      </c>
      <c r="C30" s="21">
        <v>0</v>
      </c>
      <c r="D30" s="34">
        <v>389844</v>
      </c>
      <c r="E30" s="14">
        <f t="shared" si="7"/>
        <v>389844</v>
      </c>
      <c r="F30" s="34"/>
      <c r="G30" s="15">
        <f t="shared" si="8"/>
        <v>389844</v>
      </c>
      <c r="H30" s="4"/>
      <c r="I30" s="4"/>
    </row>
    <row r="31" spans="1:11" x14ac:dyDescent="0.25">
      <c r="A31" s="30">
        <v>1.19</v>
      </c>
      <c r="B31" t="s">
        <v>34</v>
      </c>
      <c r="C31" s="21">
        <v>0</v>
      </c>
      <c r="D31" s="34">
        <v>277390</v>
      </c>
      <c r="E31" s="14">
        <f t="shared" si="7"/>
        <v>277390</v>
      </c>
      <c r="F31" s="34"/>
      <c r="G31" s="15">
        <f t="shared" si="8"/>
        <v>277390</v>
      </c>
      <c r="H31" s="4"/>
      <c r="I31" s="4"/>
    </row>
    <row r="32" spans="1:11" x14ac:dyDescent="0.25">
      <c r="A32" s="31">
        <v>1.2</v>
      </c>
      <c r="B32" t="s">
        <v>35</v>
      </c>
      <c r="C32" s="21"/>
      <c r="D32" s="34"/>
      <c r="E32" s="14">
        <f t="shared" si="7"/>
        <v>0</v>
      </c>
      <c r="F32" s="34"/>
      <c r="G32" s="15">
        <f t="shared" si="8"/>
        <v>0</v>
      </c>
      <c r="H32" s="4"/>
      <c r="I32" s="4"/>
    </row>
    <row r="33" spans="1:9" x14ac:dyDescent="0.25">
      <c r="A33" s="30">
        <v>1.21</v>
      </c>
      <c r="B33" t="s">
        <v>36</v>
      </c>
      <c r="C33" s="21"/>
      <c r="D33" s="34"/>
      <c r="E33" s="14">
        <f t="shared" si="7"/>
        <v>0</v>
      </c>
      <c r="F33" s="34"/>
      <c r="G33" s="15">
        <f t="shared" si="8"/>
        <v>0</v>
      </c>
      <c r="H33" s="4"/>
      <c r="I33" s="4"/>
    </row>
    <row r="34" spans="1:9" x14ac:dyDescent="0.25">
      <c r="A34" s="29" t="s">
        <v>31</v>
      </c>
      <c r="B34" s="1" t="s">
        <v>37</v>
      </c>
      <c r="C34" s="17">
        <f>SUM(C29:C33)</f>
        <v>2430988</v>
      </c>
      <c r="D34" s="17">
        <f t="shared" ref="D34" si="9">SUM(D29:D33)</f>
        <v>1082769</v>
      </c>
      <c r="E34" s="17">
        <f t="shared" ref="E34" si="10">SUM(E29:E33)</f>
        <v>3513757</v>
      </c>
      <c r="F34" s="17">
        <f t="shared" ref="F34" si="11">SUM(F29:F33)</f>
        <v>0</v>
      </c>
      <c r="G34" s="18">
        <f t="shared" ref="G34" si="12">SUM(G29:G33)</f>
        <v>3513757</v>
      </c>
      <c r="H34" s="4"/>
      <c r="I34" s="4"/>
    </row>
    <row r="35" spans="1:9" x14ac:dyDescent="0.25">
      <c r="A35" s="30"/>
      <c r="C35" s="21"/>
      <c r="D35" s="21"/>
      <c r="E35" s="21"/>
      <c r="F35" s="21"/>
      <c r="G35" s="22"/>
      <c r="H35" s="4"/>
      <c r="I35" s="4"/>
    </row>
    <row r="36" spans="1:9" x14ac:dyDescent="0.25">
      <c r="A36" s="30">
        <v>1.22</v>
      </c>
      <c r="B36" t="s">
        <v>40</v>
      </c>
      <c r="C36" s="21"/>
      <c r="D36" s="34"/>
      <c r="E36" s="21"/>
      <c r="F36" s="34"/>
      <c r="G36" s="22"/>
      <c r="H36" s="4"/>
      <c r="I36" s="4"/>
    </row>
    <row r="37" spans="1:9" x14ac:dyDescent="0.25">
      <c r="A37" s="30">
        <v>1.23</v>
      </c>
      <c r="B37" t="s">
        <v>41</v>
      </c>
      <c r="C37" s="21"/>
      <c r="D37" s="34"/>
      <c r="E37" s="21"/>
      <c r="F37" s="34"/>
      <c r="G37" s="22"/>
      <c r="H37" s="4"/>
      <c r="I37" s="4"/>
    </row>
    <row r="38" spans="1:9" x14ac:dyDescent="0.25">
      <c r="A38" s="30">
        <v>1.24</v>
      </c>
      <c r="C38" s="21"/>
      <c r="D38" s="34"/>
      <c r="E38" s="21"/>
      <c r="F38" s="34"/>
      <c r="G38" s="22"/>
      <c r="H38" s="4"/>
      <c r="I38" s="4"/>
    </row>
    <row r="39" spans="1:9" x14ac:dyDescent="0.25">
      <c r="A39" s="30">
        <v>1.25</v>
      </c>
      <c r="C39" s="21"/>
      <c r="D39" s="34"/>
      <c r="E39" s="21"/>
      <c r="F39" s="34"/>
      <c r="G39" s="22"/>
      <c r="H39" s="4"/>
      <c r="I39" s="4"/>
    </row>
    <row r="40" spans="1:9" x14ac:dyDescent="0.25">
      <c r="A40" s="29" t="s">
        <v>38</v>
      </c>
      <c r="B40" s="1" t="s">
        <v>42</v>
      </c>
      <c r="C40" s="8">
        <f>SUM(C36:C39)</f>
        <v>0</v>
      </c>
      <c r="D40" s="8">
        <f>SUM(D36:D39)</f>
        <v>0</v>
      </c>
      <c r="E40" s="8">
        <f>SUM(E36:E39)</f>
        <v>0</v>
      </c>
      <c r="F40" s="8">
        <f>SUM(F36:F39)</f>
        <v>0</v>
      </c>
      <c r="G40" s="23">
        <f>SUM(G36:G39)</f>
        <v>0</v>
      </c>
    </row>
    <row r="41" spans="1:9" x14ac:dyDescent="0.25">
      <c r="A41" s="29" t="s">
        <v>39</v>
      </c>
      <c r="B41" s="1" t="s">
        <v>43</v>
      </c>
      <c r="C41" s="8">
        <f>C40+C34+C27+C20+C13</f>
        <v>6649587</v>
      </c>
      <c r="D41" s="8">
        <f>D40+D34+D27+D20+D13</f>
        <v>-137560</v>
      </c>
      <c r="E41" s="8">
        <f>E40+E34+E27+E20+E13</f>
        <v>6512027</v>
      </c>
      <c r="F41" s="8">
        <f>F40+F34+F27+F20+F13</f>
        <v>0</v>
      </c>
      <c r="G41" s="23">
        <f>G40+G34+G27+G20+G13</f>
        <v>6512027</v>
      </c>
    </row>
    <row r="42" spans="1:9" x14ac:dyDescent="0.25">
      <c r="A42" s="30"/>
      <c r="G42" s="20"/>
    </row>
    <row r="43" spans="1:9" x14ac:dyDescent="0.25">
      <c r="A43" s="44" t="s">
        <v>44</v>
      </c>
      <c r="G43" s="20"/>
    </row>
    <row r="44" spans="1:9" x14ac:dyDescent="0.25">
      <c r="A44" s="30">
        <v>1.26</v>
      </c>
      <c r="B44" t="s">
        <v>46</v>
      </c>
      <c r="D44" s="42"/>
      <c r="F44" s="42"/>
      <c r="G44" s="20"/>
    </row>
    <row r="45" spans="1:9" x14ac:dyDescent="0.25">
      <c r="A45" s="30">
        <v>1.27</v>
      </c>
      <c r="B45" t="s">
        <v>47</v>
      </c>
      <c r="D45" s="42"/>
      <c r="F45" s="42"/>
      <c r="G45" s="20"/>
    </row>
    <row r="46" spans="1:9" x14ac:dyDescent="0.25">
      <c r="A46" s="29" t="s">
        <v>45</v>
      </c>
      <c r="B46" s="1" t="s">
        <v>48</v>
      </c>
      <c r="C46" s="8">
        <f>SUM(C44:C45)</f>
        <v>0</v>
      </c>
      <c r="D46" s="8">
        <f>SUM(D44:D45)</f>
        <v>0</v>
      </c>
      <c r="E46" s="8">
        <f>SUM(E44:E45)</f>
        <v>0</v>
      </c>
      <c r="F46" s="8">
        <f>SUM(F44:F45)</f>
        <v>0</v>
      </c>
      <c r="G46" s="23">
        <f>SUM(G44:G45)</f>
        <v>0</v>
      </c>
    </row>
    <row r="47" spans="1:9" x14ac:dyDescent="0.25">
      <c r="A47" s="32">
        <v>100</v>
      </c>
      <c r="B47" s="25" t="s">
        <v>49</v>
      </c>
      <c r="C47" s="26">
        <f>C41-C46</f>
        <v>6649587</v>
      </c>
      <c r="D47" s="26">
        <f>D41-D46</f>
        <v>-137560</v>
      </c>
      <c r="E47" s="26">
        <f>E41-E46</f>
        <v>6512027</v>
      </c>
      <c r="F47" s="26">
        <f>F41-F46</f>
        <v>0</v>
      </c>
      <c r="G47" s="27">
        <f>G41-G46</f>
        <v>6512027</v>
      </c>
      <c r="H47" s="1"/>
    </row>
    <row r="48" spans="1:9" x14ac:dyDescent="0.25">
      <c r="A48" s="33"/>
    </row>
    <row r="49" spans="1:1" x14ac:dyDescent="0.25">
      <c r="A49" s="33"/>
    </row>
    <row r="50" spans="1:1" x14ac:dyDescent="0.25">
      <c r="A50" s="33"/>
    </row>
    <row r="51" spans="1:1" x14ac:dyDescent="0.25">
      <c r="A51" s="33"/>
    </row>
    <row r="52" spans="1:1" x14ac:dyDescent="0.25">
      <c r="A52" s="33"/>
    </row>
    <row r="53" spans="1:1" x14ac:dyDescent="0.25">
      <c r="A53" s="33"/>
    </row>
    <row r="54" spans="1:1" x14ac:dyDescent="0.25">
      <c r="A54" s="33"/>
    </row>
    <row r="55" spans="1:1" x14ac:dyDescent="0.25">
      <c r="A55" s="33"/>
    </row>
    <row r="56" spans="1:1" x14ac:dyDescent="0.25">
      <c r="A56" s="33"/>
    </row>
    <row r="57" spans="1:1" x14ac:dyDescent="0.25">
      <c r="A57" s="33"/>
    </row>
    <row r="58" spans="1:1" x14ac:dyDescent="0.25">
      <c r="A58" s="33"/>
    </row>
    <row r="59" spans="1:1" x14ac:dyDescent="0.25">
      <c r="A59" s="33"/>
    </row>
    <row r="60" spans="1:1" x14ac:dyDescent="0.25">
      <c r="A60" s="33"/>
    </row>
    <row r="61" spans="1:1" x14ac:dyDescent="0.25">
      <c r="A61" s="33"/>
    </row>
    <row r="62" spans="1:1" x14ac:dyDescent="0.25">
      <c r="A62" s="33"/>
    </row>
    <row r="63" spans="1:1" x14ac:dyDescent="0.25">
      <c r="A63" s="33"/>
    </row>
    <row r="64" spans="1:1" x14ac:dyDescent="0.25">
      <c r="A64" s="1"/>
    </row>
    <row r="65" spans="1:1" x14ac:dyDescent="0.25">
      <c r="A65" s="1"/>
    </row>
    <row r="66" spans="1:1" x14ac:dyDescent="0.25">
      <c r="A66" s="1"/>
    </row>
    <row r="67" spans="1:1" x14ac:dyDescent="0.25">
      <c r="A67" s="1"/>
    </row>
    <row r="68" spans="1:1" x14ac:dyDescent="0.25">
      <c r="A68" s="1"/>
    </row>
    <row r="69" spans="1:1" x14ac:dyDescent="0.25">
      <c r="A69" s="1"/>
    </row>
    <row r="70" spans="1:1" x14ac:dyDescent="0.25">
      <c r="A70" s="1"/>
    </row>
    <row r="71" spans="1:1" x14ac:dyDescent="0.25">
      <c r="A71" s="1"/>
    </row>
    <row r="72" spans="1:1" x14ac:dyDescent="0.25">
      <c r="A72" s="1"/>
    </row>
    <row r="73" spans="1:1" x14ac:dyDescent="0.25">
      <c r="A73" s="1"/>
    </row>
    <row r="74" spans="1:1" x14ac:dyDescent="0.25">
      <c r="A74" s="1"/>
    </row>
    <row r="75" spans="1:1" x14ac:dyDescent="0.25">
      <c r="A75" s="1"/>
    </row>
    <row r="76" spans="1:1" x14ac:dyDescent="0.25">
      <c r="A76" s="1"/>
    </row>
    <row r="77" spans="1:1" x14ac:dyDescent="0.25">
      <c r="A77" s="1"/>
    </row>
    <row r="78" spans="1:1" x14ac:dyDescent="0.25">
      <c r="A78" s="1"/>
    </row>
    <row r="79" spans="1:1" x14ac:dyDescent="0.25">
      <c r="A79" s="1"/>
    </row>
    <row r="80" spans="1:1"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row r="87" spans="1:1" x14ac:dyDescent="0.25">
      <c r="A87" s="1"/>
    </row>
    <row r="88" spans="1:1" x14ac:dyDescent="0.25">
      <c r="A88" s="1"/>
    </row>
    <row r="89" spans="1:1" x14ac:dyDescent="0.25">
      <c r="A89" s="1"/>
    </row>
    <row r="90" spans="1:1" x14ac:dyDescent="0.25">
      <c r="A90" s="1"/>
    </row>
    <row r="91" spans="1:1" x14ac:dyDescent="0.25">
      <c r="A91" s="1"/>
    </row>
    <row r="92" spans="1:1" x14ac:dyDescent="0.25">
      <c r="A92" s="1"/>
    </row>
    <row r="93" spans="1:1" x14ac:dyDescent="0.25">
      <c r="A93" s="1"/>
    </row>
    <row r="94" spans="1:1" x14ac:dyDescent="0.25">
      <c r="A94" s="1"/>
    </row>
    <row r="95" spans="1:1" x14ac:dyDescent="0.25">
      <c r="A95" s="1"/>
    </row>
    <row r="96" spans="1:1" x14ac:dyDescent="0.25">
      <c r="A96" s="1"/>
    </row>
    <row r="97" spans="1:1" x14ac:dyDescent="0.25">
      <c r="A97" s="1"/>
    </row>
    <row r="98" spans="1:1" x14ac:dyDescent="0.25">
      <c r="A98" s="1"/>
    </row>
    <row r="99" spans="1:1" x14ac:dyDescent="0.25">
      <c r="A99" s="1"/>
    </row>
    <row r="100" spans="1:1" x14ac:dyDescent="0.25">
      <c r="A100" s="1"/>
    </row>
    <row r="101" spans="1:1" x14ac:dyDescent="0.25">
      <c r="A101" s="1"/>
    </row>
    <row r="102" spans="1:1" x14ac:dyDescent="0.25">
      <c r="A102" s="1"/>
    </row>
    <row r="103" spans="1:1" x14ac:dyDescent="0.25">
      <c r="A103" s="1"/>
    </row>
    <row r="104" spans="1:1" x14ac:dyDescent="0.25">
      <c r="A104" s="1"/>
    </row>
    <row r="105" spans="1:1" x14ac:dyDescent="0.25">
      <c r="A105" s="1"/>
    </row>
    <row r="106" spans="1:1" x14ac:dyDescent="0.25">
      <c r="A106" s="1"/>
    </row>
    <row r="107" spans="1:1" x14ac:dyDescent="0.25">
      <c r="A107" s="1"/>
    </row>
    <row r="108" spans="1:1" x14ac:dyDescent="0.25">
      <c r="A108" s="1"/>
    </row>
    <row r="109" spans="1:1" x14ac:dyDescent="0.25">
      <c r="A109" s="1"/>
    </row>
    <row r="110" spans="1:1" x14ac:dyDescent="0.25">
      <c r="A110" s="1"/>
    </row>
    <row r="111" spans="1:1" x14ac:dyDescent="0.25">
      <c r="A111" s="1"/>
    </row>
    <row r="112" spans="1:1" x14ac:dyDescent="0.25">
      <c r="A112" s="1"/>
    </row>
  </sheetData>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6D377-894A-46E6-A02F-20169DF17203}">
  <sheetPr>
    <pageSetUpPr fitToPage="1"/>
  </sheetPr>
  <dimension ref="A1:L22"/>
  <sheetViews>
    <sheetView zoomScaleNormal="100" workbookViewId="0">
      <selection activeCell="A22" sqref="A22"/>
    </sheetView>
  </sheetViews>
  <sheetFormatPr defaultRowHeight="14.4" x14ac:dyDescent="0.3"/>
  <cols>
    <col min="1" max="1" width="31.6640625" style="111" bestFit="1" customWidth="1"/>
    <col min="2" max="2" width="16" style="143" bestFit="1" customWidth="1"/>
    <col min="3" max="3" width="6.6640625" style="143" customWidth="1"/>
    <col min="4" max="4" width="12.5546875" style="143" bestFit="1" customWidth="1"/>
    <col min="5" max="5" width="5.33203125" style="111" customWidth="1"/>
    <col min="6" max="8" width="8.88671875" style="111"/>
    <col min="9" max="9" width="11.44140625" style="111" bestFit="1" customWidth="1"/>
    <col min="10" max="16384" width="8.88671875" style="111"/>
  </cols>
  <sheetData>
    <row r="1" spans="1:10" x14ac:dyDescent="0.3">
      <c r="A1" s="129" t="s">
        <v>629</v>
      </c>
      <c r="B1" s="146" t="s">
        <v>630</v>
      </c>
      <c r="D1" s="157"/>
    </row>
    <row r="2" spans="1:10" x14ac:dyDescent="0.3">
      <c r="B2" s="146"/>
      <c r="D2" s="157"/>
    </row>
    <row r="3" spans="1:10" x14ac:dyDescent="0.3">
      <c r="B3" s="147" t="s">
        <v>631</v>
      </c>
      <c r="C3" s="147"/>
      <c r="D3" s="147" t="s">
        <v>646</v>
      </c>
      <c r="I3" s="148" t="s">
        <v>5</v>
      </c>
    </row>
    <row r="4" spans="1:10" x14ac:dyDescent="0.3">
      <c r="A4" s="111" t="s">
        <v>632</v>
      </c>
      <c r="B4" s="153">
        <v>49000</v>
      </c>
      <c r="C4" s="146" t="s">
        <v>597</v>
      </c>
      <c r="D4" s="140">
        <f>ROUND($B$7*G4,0)</f>
        <v>72294</v>
      </c>
      <c r="F4" s="122" t="s">
        <v>600</v>
      </c>
      <c r="G4" s="149">
        <v>0.84</v>
      </c>
    </row>
    <row r="5" spans="1:10" x14ac:dyDescent="0.3">
      <c r="A5" s="111" t="s">
        <v>633</v>
      </c>
      <c r="B5" s="153">
        <v>14971</v>
      </c>
      <c r="C5" s="146" t="s">
        <v>597</v>
      </c>
      <c r="D5" s="140">
        <f>ROUND($B$7*G5,0)</f>
        <v>8606</v>
      </c>
      <c r="F5" s="122" t="s">
        <v>602</v>
      </c>
      <c r="G5" s="149">
        <v>0.1</v>
      </c>
      <c r="I5" s="140">
        <f>B5-D5</f>
        <v>6365</v>
      </c>
      <c r="J5" s="111" t="s">
        <v>634</v>
      </c>
    </row>
    <row r="6" spans="1:10" x14ac:dyDescent="0.3">
      <c r="A6" s="111" t="s">
        <v>635</v>
      </c>
      <c r="B6" s="154">
        <v>22093</v>
      </c>
      <c r="C6" s="146" t="s">
        <v>597</v>
      </c>
      <c r="D6" s="142">
        <f>B7-SUM(D4:D5)</f>
        <v>5164</v>
      </c>
      <c r="F6" s="122" t="s">
        <v>606</v>
      </c>
      <c r="G6" s="149">
        <v>0.06</v>
      </c>
    </row>
    <row r="7" spans="1:10" x14ac:dyDescent="0.3">
      <c r="B7" s="155">
        <f>SUM(B4:B6)</f>
        <v>86064</v>
      </c>
      <c r="C7" s="146"/>
      <c r="D7" s="140">
        <f>SUM(D4:D6)</f>
        <v>86064</v>
      </c>
    </row>
    <row r="8" spans="1:10" x14ac:dyDescent="0.3">
      <c r="B8" s="155"/>
      <c r="C8" s="146"/>
      <c r="D8" s="140"/>
    </row>
    <row r="9" spans="1:10" x14ac:dyDescent="0.3">
      <c r="A9" s="129" t="s">
        <v>636</v>
      </c>
      <c r="B9" s="155"/>
      <c r="C9" s="146"/>
      <c r="D9" s="140"/>
    </row>
    <row r="10" spans="1:10" x14ac:dyDescent="0.3">
      <c r="A10" s="111" t="s">
        <v>637</v>
      </c>
      <c r="B10" s="153">
        <v>1392347</v>
      </c>
      <c r="C10" s="146" t="s">
        <v>597</v>
      </c>
      <c r="D10" s="140">
        <f>ROUND($B$15*G10,0)</f>
        <v>1392347</v>
      </c>
      <c r="F10" s="122" t="s">
        <v>600</v>
      </c>
      <c r="G10" s="149">
        <v>0.84</v>
      </c>
    </row>
    <row r="11" spans="1:10" x14ac:dyDescent="0.3">
      <c r="A11" s="111" t="s">
        <v>638</v>
      </c>
      <c r="B11" s="153">
        <v>165756</v>
      </c>
      <c r="C11" s="146" t="s">
        <v>597</v>
      </c>
      <c r="D11" s="140">
        <f>ROUND($B$15*G11,0)</f>
        <v>165756</v>
      </c>
      <c r="F11" s="122" t="s">
        <v>602</v>
      </c>
      <c r="G11" s="149">
        <v>0.1</v>
      </c>
      <c r="I11" s="140">
        <f>B11-D11</f>
        <v>0</v>
      </c>
    </row>
    <row r="12" spans="1:10" x14ac:dyDescent="0.3">
      <c r="A12" s="111" t="s">
        <v>639</v>
      </c>
      <c r="B12" s="153">
        <v>99453</v>
      </c>
      <c r="C12" s="146" t="s">
        <v>597</v>
      </c>
      <c r="D12" s="140">
        <f>B15-SUM(D10:D11)</f>
        <v>99453</v>
      </c>
      <c r="F12" s="122" t="s">
        <v>606</v>
      </c>
      <c r="G12" s="149">
        <v>0.06</v>
      </c>
    </row>
    <row r="13" spans="1:10" x14ac:dyDescent="0.3">
      <c r="A13" s="111" t="s">
        <v>640</v>
      </c>
      <c r="B13" s="153">
        <v>0</v>
      </c>
      <c r="C13" s="146" t="s">
        <v>597</v>
      </c>
      <c r="D13" s="140"/>
      <c r="F13" s="122" t="s">
        <v>602</v>
      </c>
      <c r="I13" s="150">
        <f>B13-D13</f>
        <v>0</v>
      </c>
    </row>
    <row r="14" spans="1:10" x14ac:dyDescent="0.3">
      <c r="A14" s="111" t="s">
        <v>641</v>
      </c>
      <c r="B14" s="154">
        <v>0</v>
      </c>
      <c r="C14" s="146" t="s">
        <v>597</v>
      </c>
      <c r="D14" s="142"/>
    </row>
    <row r="15" spans="1:10" x14ac:dyDescent="0.3">
      <c r="B15" s="155">
        <f>SUM(B10:B14)</f>
        <v>1657556</v>
      </c>
      <c r="C15" s="146"/>
      <c r="D15" s="140">
        <f>SUM(D10:D14)</f>
        <v>1657556</v>
      </c>
    </row>
    <row r="16" spans="1:10" x14ac:dyDescent="0.3">
      <c r="B16" s="155"/>
      <c r="C16" s="146"/>
      <c r="D16" s="140"/>
    </row>
    <row r="17" spans="1:12" x14ac:dyDescent="0.3">
      <c r="A17" s="129" t="s">
        <v>628</v>
      </c>
      <c r="B17" s="155"/>
      <c r="C17" s="146"/>
      <c r="D17" s="140"/>
    </row>
    <row r="18" spans="1:12" x14ac:dyDescent="0.3">
      <c r="A18" s="111" t="s">
        <v>642</v>
      </c>
      <c r="B18" s="153">
        <v>905244</v>
      </c>
      <c r="C18" s="146" t="s">
        <v>597</v>
      </c>
      <c r="D18" s="140">
        <f>ROUND($B$21*G18,0)</f>
        <v>905244</v>
      </c>
      <c r="F18" s="122" t="s">
        <v>600</v>
      </c>
      <c r="G18" s="149">
        <v>0.84</v>
      </c>
      <c r="K18" s="117"/>
      <c r="L18" s="117"/>
    </row>
    <row r="19" spans="1:12" x14ac:dyDescent="0.3">
      <c r="A19" s="111" t="s">
        <v>643</v>
      </c>
      <c r="B19" s="153">
        <v>64660</v>
      </c>
      <c r="C19" s="146" t="s">
        <v>597</v>
      </c>
      <c r="D19" s="140">
        <f>ROUND($B$21*G19,0)</f>
        <v>107767</v>
      </c>
      <c r="F19" s="122" t="s">
        <v>602</v>
      </c>
      <c r="G19" s="149">
        <v>0.1</v>
      </c>
      <c r="I19" s="140">
        <f>B19-D19</f>
        <v>-43107</v>
      </c>
      <c r="J19" s="111" t="s">
        <v>644</v>
      </c>
    </row>
    <row r="20" spans="1:12" x14ac:dyDescent="0.3">
      <c r="A20" s="111" t="s">
        <v>645</v>
      </c>
      <c r="B20" s="154">
        <v>107767</v>
      </c>
      <c r="C20" s="146" t="s">
        <v>597</v>
      </c>
      <c r="D20" s="142">
        <f>B21-SUM(D18:D19)</f>
        <v>64660</v>
      </c>
      <c r="F20" s="122" t="s">
        <v>606</v>
      </c>
      <c r="G20" s="149">
        <v>0.06</v>
      </c>
      <c r="I20" s="151"/>
    </row>
    <row r="21" spans="1:12" x14ac:dyDescent="0.3">
      <c r="B21" s="155">
        <f>SUM(B18:B20)</f>
        <v>1077671</v>
      </c>
      <c r="C21" s="146"/>
      <c r="D21" s="140">
        <f>SUM(D18:D20)</f>
        <v>1077671</v>
      </c>
    </row>
    <row r="22" spans="1:12" x14ac:dyDescent="0.3">
      <c r="B22" s="156"/>
      <c r="C22" s="146"/>
      <c r="D22" s="140"/>
      <c r="I22" s="152">
        <f>SUM(I4:I21)</f>
        <v>-36742</v>
      </c>
      <c r="J22" s="111" t="s">
        <v>627</v>
      </c>
    </row>
  </sheetData>
  <pageMargins left="0.45" right="0.2"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1E0A3-2A27-4CC9-B249-B12D1111FC4D}">
  <dimension ref="A1:U130"/>
  <sheetViews>
    <sheetView workbookViewId="0">
      <selection activeCell="H6" sqref="H6"/>
    </sheetView>
  </sheetViews>
  <sheetFormatPr defaultRowHeight="12" x14ac:dyDescent="0.25"/>
  <cols>
    <col min="1" max="1" width="34.109375" style="163" bestFit="1" customWidth="1"/>
    <col min="2" max="2" width="28.44140625" style="163" bestFit="1" customWidth="1"/>
    <col min="3" max="7" width="8.88671875" style="163" bestFit="1" customWidth="1"/>
    <col min="8" max="8" width="9.44140625" style="163" bestFit="1" customWidth="1"/>
    <col min="9" max="9" width="8.88671875" style="163" bestFit="1" customWidth="1"/>
    <col min="10" max="10" width="9.88671875" style="163" bestFit="1" customWidth="1"/>
    <col min="11" max="12" width="8.88671875" style="163" bestFit="1" customWidth="1"/>
    <col min="13" max="13" width="9.88671875" style="163" bestFit="1" customWidth="1"/>
    <col min="14" max="14" width="8.88671875" style="163" bestFit="1" customWidth="1"/>
    <col min="15" max="15" width="9.88671875" style="163" bestFit="1" customWidth="1"/>
    <col min="16" max="16" width="8.88671875" style="163"/>
    <col min="17" max="17" width="10.109375" style="163" bestFit="1" customWidth="1"/>
    <col min="18" max="18" width="8.88671875" style="163"/>
    <col min="19" max="19" width="9.5546875" style="163" bestFit="1" customWidth="1"/>
    <col min="20" max="256" width="8.88671875" style="163"/>
    <col min="257" max="257" width="34.109375" style="163" bestFit="1" customWidth="1"/>
    <col min="258" max="258" width="28.44140625" style="163" bestFit="1" customWidth="1"/>
    <col min="259" max="263" width="8.88671875" style="163" bestFit="1" customWidth="1"/>
    <col min="264" max="264" width="9.44140625" style="163" bestFit="1" customWidth="1"/>
    <col min="265" max="265" width="8.88671875" style="163" bestFit="1" customWidth="1"/>
    <col min="266" max="266" width="9.88671875" style="163" bestFit="1" customWidth="1"/>
    <col min="267" max="268" width="8.88671875" style="163" bestFit="1" customWidth="1"/>
    <col min="269" max="269" width="9.88671875" style="163" bestFit="1" customWidth="1"/>
    <col min="270" max="270" width="8.88671875" style="163" bestFit="1" customWidth="1"/>
    <col min="271" max="271" width="9.88671875" style="163" bestFit="1" customWidth="1"/>
    <col min="272" max="512" width="8.88671875" style="163"/>
    <col min="513" max="513" width="34.109375" style="163" bestFit="1" customWidth="1"/>
    <col min="514" max="514" width="28.44140625" style="163" bestFit="1" customWidth="1"/>
    <col min="515" max="519" width="8.88671875" style="163" bestFit="1" customWidth="1"/>
    <col min="520" max="520" width="9.44140625" style="163" bestFit="1" customWidth="1"/>
    <col min="521" max="521" width="8.88671875" style="163" bestFit="1" customWidth="1"/>
    <col min="522" max="522" width="9.88671875" style="163" bestFit="1" customWidth="1"/>
    <col min="523" max="524" width="8.88671875" style="163" bestFit="1" customWidth="1"/>
    <col min="525" max="525" width="9.88671875" style="163" bestFit="1" customWidth="1"/>
    <col min="526" max="526" width="8.88671875" style="163" bestFit="1" customWidth="1"/>
    <col min="527" max="527" width="9.88671875" style="163" bestFit="1" customWidth="1"/>
    <col min="528" max="768" width="8.88671875" style="163"/>
    <col min="769" max="769" width="34.109375" style="163" bestFit="1" customWidth="1"/>
    <col min="770" max="770" width="28.44140625" style="163" bestFit="1" customWidth="1"/>
    <col min="771" max="775" width="8.88671875" style="163" bestFit="1" customWidth="1"/>
    <col min="776" max="776" width="9.44140625" style="163" bestFit="1" customWidth="1"/>
    <col min="777" max="777" width="8.88671875" style="163" bestFit="1" customWidth="1"/>
    <col min="778" max="778" width="9.88671875" style="163" bestFit="1" customWidth="1"/>
    <col min="779" max="780" width="8.88671875" style="163" bestFit="1" customWidth="1"/>
    <col min="781" max="781" width="9.88671875" style="163" bestFit="1" customWidth="1"/>
    <col min="782" max="782" width="8.88671875" style="163" bestFit="1" customWidth="1"/>
    <col min="783" max="783" width="9.88671875" style="163" bestFit="1" customWidth="1"/>
    <col min="784" max="1024" width="8.88671875" style="163"/>
    <col min="1025" max="1025" width="34.109375" style="163" bestFit="1" customWidth="1"/>
    <col min="1026" max="1026" width="28.44140625" style="163" bestFit="1" customWidth="1"/>
    <col min="1027" max="1031" width="8.88671875" style="163" bestFit="1" customWidth="1"/>
    <col min="1032" max="1032" width="9.44140625" style="163" bestFit="1" customWidth="1"/>
    <col min="1033" max="1033" width="8.88671875" style="163" bestFit="1" customWidth="1"/>
    <col min="1034" max="1034" width="9.88671875" style="163" bestFit="1" customWidth="1"/>
    <col min="1035" max="1036" width="8.88671875" style="163" bestFit="1" customWidth="1"/>
    <col min="1037" max="1037" width="9.88671875" style="163" bestFit="1" customWidth="1"/>
    <col min="1038" max="1038" width="8.88671875" style="163" bestFit="1" customWidth="1"/>
    <col min="1039" max="1039" width="9.88671875" style="163" bestFit="1" customWidth="1"/>
    <col min="1040" max="1280" width="8.88671875" style="163"/>
    <col min="1281" max="1281" width="34.109375" style="163" bestFit="1" customWidth="1"/>
    <col min="1282" max="1282" width="28.44140625" style="163" bestFit="1" customWidth="1"/>
    <col min="1283" max="1287" width="8.88671875" style="163" bestFit="1" customWidth="1"/>
    <col min="1288" max="1288" width="9.44140625" style="163" bestFit="1" customWidth="1"/>
    <col min="1289" max="1289" width="8.88671875" style="163" bestFit="1" customWidth="1"/>
    <col min="1290" max="1290" width="9.88671875" style="163" bestFit="1" customWidth="1"/>
    <col min="1291" max="1292" width="8.88671875" style="163" bestFit="1" customWidth="1"/>
    <col min="1293" max="1293" width="9.88671875" style="163" bestFit="1" customWidth="1"/>
    <col min="1294" max="1294" width="8.88671875" style="163" bestFit="1" customWidth="1"/>
    <col min="1295" max="1295" width="9.88671875" style="163" bestFit="1" customWidth="1"/>
    <col min="1296" max="1536" width="8.88671875" style="163"/>
    <col min="1537" max="1537" width="34.109375" style="163" bestFit="1" customWidth="1"/>
    <col min="1538" max="1538" width="28.44140625" style="163" bestFit="1" customWidth="1"/>
    <col min="1539" max="1543" width="8.88671875" style="163" bestFit="1" customWidth="1"/>
    <col min="1544" max="1544" width="9.44140625" style="163" bestFit="1" customWidth="1"/>
    <col min="1545" max="1545" width="8.88671875" style="163" bestFit="1" customWidth="1"/>
    <col min="1546" max="1546" width="9.88671875" style="163" bestFit="1" customWidth="1"/>
    <col min="1547" max="1548" width="8.88671875" style="163" bestFit="1" customWidth="1"/>
    <col min="1549" max="1549" width="9.88671875" style="163" bestFit="1" customWidth="1"/>
    <col min="1550" max="1550" width="8.88671875" style="163" bestFit="1" customWidth="1"/>
    <col min="1551" max="1551" width="9.88671875" style="163" bestFit="1" customWidth="1"/>
    <col min="1552" max="1792" width="8.88671875" style="163"/>
    <col min="1793" max="1793" width="34.109375" style="163" bestFit="1" customWidth="1"/>
    <col min="1794" max="1794" width="28.44140625" style="163" bestFit="1" customWidth="1"/>
    <col min="1795" max="1799" width="8.88671875" style="163" bestFit="1" customWidth="1"/>
    <col min="1800" max="1800" width="9.44140625" style="163" bestFit="1" customWidth="1"/>
    <col min="1801" max="1801" width="8.88671875" style="163" bestFit="1" customWidth="1"/>
    <col min="1802" max="1802" width="9.88671875" style="163" bestFit="1" customWidth="1"/>
    <col min="1803" max="1804" width="8.88671875" style="163" bestFit="1" customWidth="1"/>
    <col min="1805" max="1805" width="9.88671875" style="163" bestFit="1" customWidth="1"/>
    <col min="1806" max="1806" width="8.88671875" style="163" bestFit="1" customWidth="1"/>
    <col min="1807" max="1807" width="9.88671875" style="163" bestFit="1" customWidth="1"/>
    <col min="1808" max="2048" width="8.88671875" style="163"/>
    <col min="2049" max="2049" width="34.109375" style="163" bestFit="1" customWidth="1"/>
    <col min="2050" max="2050" width="28.44140625" style="163" bestFit="1" customWidth="1"/>
    <col min="2051" max="2055" width="8.88671875" style="163" bestFit="1" customWidth="1"/>
    <col min="2056" max="2056" width="9.44140625" style="163" bestFit="1" customWidth="1"/>
    <col min="2057" max="2057" width="8.88671875" style="163" bestFit="1" customWidth="1"/>
    <col min="2058" max="2058" width="9.88671875" style="163" bestFit="1" customWidth="1"/>
    <col min="2059" max="2060" width="8.88671875" style="163" bestFit="1" customWidth="1"/>
    <col min="2061" max="2061" width="9.88671875" style="163" bestFit="1" customWidth="1"/>
    <col min="2062" max="2062" width="8.88671875" style="163" bestFit="1" customWidth="1"/>
    <col min="2063" max="2063" width="9.88671875" style="163" bestFit="1" customWidth="1"/>
    <col min="2064" max="2304" width="8.88671875" style="163"/>
    <col min="2305" max="2305" width="34.109375" style="163" bestFit="1" customWidth="1"/>
    <col min="2306" max="2306" width="28.44140625" style="163" bestFit="1" customWidth="1"/>
    <col min="2307" max="2311" width="8.88671875" style="163" bestFit="1" customWidth="1"/>
    <col min="2312" max="2312" width="9.44140625" style="163" bestFit="1" customWidth="1"/>
    <col min="2313" max="2313" width="8.88671875" style="163" bestFit="1" customWidth="1"/>
    <col min="2314" max="2314" width="9.88671875" style="163" bestFit="1" customWidth="1"/>
    <col min="2315" max="2316" width="8.88671875" style="163" bestFit="1" customWidth="1"/>
    <col min="2317" max="2317" width="9.88671875" style="163" bestFit="1" customWidth="1"/>
    <col min="2318" max="2318" width="8.88671875" style="163" bestFit="1" customWidth="1"/>
    <col min="2319" max="2319" width="9.88671875" style="163" bestFit="1" customWidth="1"/>
    <col min="2320" max="2560" width="8.88671875" style="163"/>
    <col min="2561" max="2561" width="34.109375" style="163" bestFit="1" customWidth="1"/>
    <col min="2562" max="2562" width="28.44140625" style="163" bestFit="1" customWidth="1"/>
    <col min="2563" max="2567" width="8.88671875" style="163" bestFit="1" customWidth="1"/>
    <col min="2568" max="2568" width="9.44140625" style="163" bestFit="1" customWidth="1"/>
    <col min="2569" max="2569" width="8.88671875" style="163" bestFit="1" customWidth="1"/>
    <col min="2570" max="2570" width="9.88671875" style="163" bestFit="1" customWidth="1"/>
    <col min="2571" max="2572" width="8.88671875" style="163" bestFit="1" customWidth="1"/>
    <col min="2573" max="2573" width="9.88671875" style="163" bestFit="1" customWidth="1"/>
    <col min="2574" max="2574" width="8.88671875" style="163" bestFit="1" customWidth="1"/>
    <col min="2575" max="2575" width="9.88671875" style="163" bestFit="1" customWidth="1"/>
    <col min="2576" max="2816" width="8.88671875" style="163"/>
    <col min="2817" max="2817" width="34.109375" style="163" bestFit="1" customWidth="1"/>
    <col min="2818" max="2818" width="28.44140625" style="163" bestFit="1" customWidth="1"/>
    <col min="2819" max="2823" width="8.88671875" style="163" bestFit="1" customWidth="1"/>
    <col min="2824" max="2824" width="9.44140625" style="163" bestFit="1" customWidth="1"/>
    <col min="2825" max="2825" width="8.88671875" style="163" bestFit="1" customWidth="1"/>
    <col min="2826" max="2826" width="9.88671875" style="163" bestFit="1" customWidth="1"/>
    <col min="2827" max="2828" width="8.88671875" style="163" bestFit="1" customWidth="1"/>
    <col min="2829" max="2829" width="9.88671875" style="163" bestFit="1" customWidth="1"/>
    <col min="2830" max="2830" width="8.88671875" style="163" bestFit="1" customWidth="1"/>
    <col min="2831" max="2831" width="9.88671875" style="163" bestFit="1" customWidth="1"/>
    <col min="2832" max="3072" width="8.88671875" style="163"/>
    <col min="3073" max="3073" width="34.109375" style="163" bestFit="1" customWidth="1"/>
    <col min="3074" max="3074" width="28.44140625" style="163" bestFit="1" customWidth="1"/>
    <col min="3075" max="3079" width="8.88671875" style="163" bestFit="1" customWidth="1"/>
    <col min="3080" max="3080" width="9.44140625" style="163" bestFit="1" customWidth="1"/>
    <col min="3081" max="3081" width="8.88671875" style="163" bestFit="1" customWidth="1"/>
    <col min="3082" max="3082" width="9.88671875" style="163" bestFit="1" customWidth="1"/>
    <col min="3083" max="3084" width="8.88671875" style="163" bestFit="1" customWidth="1"/>
    <col min="3085" max="3085" width="9.88671875" style="163" bestFit="1" customWidth="1"/>
    <col min="3086" max="3086" width="8.88671875" style="163" bestFit="1" customWidth="1"/>
    <col min="3087" max="3087" width="9.88671875" style="163" bestFit="1" customWidth="1"/>
    <col min="3088" max="3328" width="8.88671875" style="163"/>
    <col min="3329" max="3329" width="34.109375" style="163" bestFit="1" customWidth="1"/>
    <col min="3330" max="3330" width="28.44140625" style="163" bestFit="1" customWidth="1"/>
    <col min="3331" max="3335" width="8.88671875" style="163" bestFit="1" customWidth="1"/>
    <col min="3336" max="3336" width="9.44140625" style="163" bestFit="1" customWidth="1"/>
    <col min="3337" max="3337" width="8.88671875" style="163" bestFit="1" customWidth="1"/>
    <col min="3338" max="3338" width="9.88671875" style="163" bestFit="1" customWidth="1"/>
    <col min="3339" max="3340" width="8.88671875" style="163" bestFit="1" customWidth="1"/>
    <col min="3341" max="3341" width="9.88671875" style="163" bestFit="1" customWidth="1"/>
    <col min="3342" max="3342" width="8.88671875" style="163" bestFit="1" customWidth="1"/>
    <col min="3343" max="3343" width="9.88671875" style="163" bestFit="1" customWidth="1"/>
    <col min="3344" max="3584" width="8.88671875" style="163"/>
    <col min="3585" max="3585" width="34.109375" style="163" bestFit="1" customWidth="1"/>
    <col min="3586" max="3586" width="28.44140625" style="163" bestFit="1" customWidth="1"/>
    <col min="3587" max="3591" width="8.88671875" style="163" bestFit="1" customWidth="1"/>
    <col min="3592" max="3592" width="9.44140625" style="163" bestFit="1" customWidth="1"/>
    <col min="3593" max="3593" width="8.88671875" style="163" bestFit="1" customWidth="1"/>
    <col min="3594" max="3594" width="9.88671875" style="163" bestFit="1" customWidth="1"/>
    <col min="3595" max="3596" width="8.88671875" style="163" bestFit="1" customWidth="1"/>
    <col min="3597" max="3597" width="9.88671875" style="163" bestFit="1" customWidth="1"/>
    <col min="3598" max="3598" width="8.88671875" style="163" bestFit="1" customWidth="1"/>
    <col min="3599" max="3599" width="9.88671875" style="163" bestFit="1" customWidth="1"/>
    <col min="3600" max="3840" width="8.88671875" style="163"/>
    <col min="3841" max="3841" width="34.109375" style="163" bestFit="1" customWidth="1"/>
    <col min="3842" max="3842" width="28.44140625" style="163" bestFit="1" customWidth="1"/>
    <col min="3843" max="3847" width="8.88671875" style="163" bestFit="1" customWidth="1"/>
    <col min="3848" max="3848" width="9.44140625" style="163" bestFit="1" customWidth="1"/>
    <col min="3849" max="3849" width="8.88671875" style="163" bestFit="1" customWidth="1"/>
    <col min="3850" max="3850" width="9.88671875" style="163" bestFit="1" customWidth="1"/>
    <col min="3851" max="3852" width="8.88671875" style="163" bestFit="1" customWidth="1"/>
    <col min="3853" max="3853" width="9.88671875" style="163" bestFit="1" customWidth="1"/>
    <col min="3854" max="3854" width="8.88671875" style="163" bestFit="1" customWidth="1"/>
    <col min="3855" max="3855" width="9.88671875" style="163" bestFit="1" customWidth="1"/>
    <col min="3856" max="4096" width="8.88671875" style="163"/>
    <col min="4097" max="4097" width="34.109375" style="163" bestFit="1" customWidth="1"/>
    <col min="4098" max="4098" width="28.44140625" style="163" bestFit="1" customWidth="1"/>
    <col min="4099" max="4103" width="8.88671875" style="163" bestFit="1" customWidth="1"/>
    <col min="4104" max="4104" width="9.44140625" style="163" bestFit="1" customWidth="1"/>
    <col min="4105" max="4105" width="8.88671875" style="163" bestFit="1" customWidth="1"/>
    <col min="4106" max="4106" width="9.88671875" style="163" bestFit="1" customWidth="1"/>
    <col min="4107" max="4108" width="8.88671875" style="163" bestFit="1" customWidth="1"/>
    <col min="4109" max="4109" width="9.88671875" style="163" bestFit="1" customWidth="1"/>
    <col min="4110" max="4110" width="8.88671875" style="163" bestFit="1" customWidth="1"/>
    <col min="4111" max="4111" width="9.88671875" style="163" bestFit="1" customWidth="1"/>
    <col min="4112" max="4352" width="8.88671875" style="163"/>
    <col min="4353" max="4353" width="34.109375" style="163" bestFit="1" customWidth="1"/>
    <col min="4354" max="4354" width="28.44140625" style="163" bestFit="1" customWidth="1"/>
    <col min="4355" max="4359" width="8.88671875" style="163" bestFit="1" customWidth="1"/>
    <col min="4360" max="4360" width="9.44140625" style="163" bestFit="1" customWidth="1"/>
    <col min="4361" max="4361" width="8.88671875" style="163" bestFit="1" customWidth="1"/>
    <col min="4362" max="4362" width="9.88671875" style="163" bestFit="1" customWidth="1"/>
    <col min="4363" max="4364" width="8.88671875" style="163" bestFit="1" customWidth="1"/>
    <col min="4365" max="4365" width="9.88671875" style="163" bestFit="1" customWidth="1"/>
    <col min="4366" max="4366" width="8.88671875" style="163" bestFit="1" customWidth="1"/>
    <col min="4367" max="4367" width="9.88671875" style="163" bestFit="1" customWidth="1"/>
    <col min="4368" max="4608" width="8.88671875" style="163"/>
    <col min="4609" max="4609" width="34.109375" style="163" bestFit="1" customWidth="1"/>
    <col min="4610" max="4610" width="28.44140625" style="163" bestFit="1" customWidth="1"/>
    <col min="4611" max="4615" width="8.88671875" style="163" bestFit="1" customWidth="1"/>
    <col min="4616" max="4616" width="9.44140625" style="163" bestFit="1" customWidth="1"/>
    <col min="4617" max="4617" width="8.88671875" style="163" bestFit="1" customWidth="1"/>
    <col min="4618" max="4618" width="9.88671875" style="163" bestFit="1" customWidth="1"/>
    <col min="4619" max="4620" width="8.88671875" style="163" bestFit="1" customWidth="1"/>
    <col min="4621" max="4621" width="9.88671875" style="163" bestFit="1" customWidth="1"/>
    <col min="4622" max="4622" width="8.88671875" style="163" bestFit="1" customWidth="1"/>
    <col min="4623" max="4623" width="9.88671875" style="163" bestFit="1" customWidth="1"/>
    <col min="4624" max="4864" width="8.88671875" style="163"/>
    <col min="4865" max="4865" width="34.109375" style="163" bestFit="1" customWidth="1"/>
    <col min="4866" max="4866" width="28.44140625" style="163" bestFit="1" customWidth="1"/>
    <col min="4867" max="4871" width="8.88671875" style="163" bestFit="1" customWidth="1"/>
    <col min="4872" max="4872" width="9.44140625" style="163" bestFit="1" customWidth="1"/>
    <col min="4873" max="4873" width="8.88671875" style="163" bestFit="1" customWidth="1"/>
    <col min="4874" max="4874" width="9.88671875" style="163" bestFit="1" customWidth="1"/>
    <col min="4875" max="4876" width="8.88671875" style="163" bestFit="1" customWidth="1"/>
    <col min="4877" max="4877" width="9.88671875" style="163" bestFit="1" customWidth="1"/>
    <col min="4878" max="4878" width="8.88671875" style="163" bestFit="1" customWidth="1"/>
    <col min="4879" max="4879" width="9.88671875" style="163" bestFit="1" customWidth="1"/>
    <col min="4880" max="5120" width="8.88671875" style="163"/>
    <col min="5121" max="5121" width="34.109375" style="163" bestFit="1" customWidth="1"/>
    <col min="5122" max="5122" width="28.44140625" style="163" bestFit="1" customWidth="1"/>
    <col min="5123" max="5127" width="8.88671875" style="163" bestFit="1" customWidth="1"/>
    <col min="5128" max="5128" width="9.44140625" style="163" bestFit="1" customWidth="1"/>
    <col min="5129" max="5129" width="8.88671875" style="163" bestFit="1" customWidth="1"/>
    <col min="5130" max="5130" width="9.88671875" style="163" bestFit="1" customWidth="1"/>
    <col min="5131" max="5132" width="8.88671875" style="163" bestFit="1" customWidth="1"/>
    <col min="5133" max="5133" width="9.88671875" style="163" bestFit="1" customWidth="1"/>
    <col min="5134" max="5134" width="8.88671875" style="163" bestFit="1" customWidth="1"/>
    <col min="5135" max="5135" width="9.88671875" style="163" bestFit="1" customWidth="1"/>
    <col min="5136" max="5376" width="8.88671875" style="163"/>
    <col min="5377" max="5377" width="34.109375" style="163" bestFit="1" customWidth="1"/>
    <col min="5378" max="5378" width="28.44140625" style="163" bestFit="1" customWidth="1"/>
    <col min="5379" max="5383" width="8.88671875" style="163" bestFit="1" customWidth="1"/>
    <col min="5384" max="5384" width="9.44140625" style="163" bestFit="1" customWidth="1"/>
    <col min="5385" max="5385" width="8.88671875" style="163" bestFit="1" customWidth="1"/>
    <col min="5386" max="5386" width="9.88671875" style="163" bestFit="1" customWidth="1"/>
    <col min="5387" max="5388" width="8.88671875" style="163" bestFit="1" customWidth="1"/>
    <col min="5389" max="5389" width="9.88671875" style="163" bestFit="1" customWidth="1"/>
    <col min="5390" max="5390" width="8.88671875" style="163" bestFit="1" customWidth="1"/>
    <col min="5391" max="5391" width="9.88671875" style="163" bestFit="1" customWidth="1"/>
    <col min="5392" max="5632" width="8.88671875" style="163"/>
    <col min="5633" max="5633" width="34.109375" style="163" bestFit="1" customWidth="1"/>
    <col min="5634" max="5634" width="28.44140625" style="163" bestFit="1" customWidth="1"/>
    <col min="5635" max="5639" width="8.88671875" style="163" bestFit="1" customWidth="1"/>
    <col min="5640" max="5640" width="9.44140625" style="163" bestFit="1" customWidth="1"/>
    <col min="5641" max="5641" width="8.88671875" style="163" bestFit="1" customWidth="1"/>
    <col min="5642" max="5642" width="9.88671875" style="163" bestFit="1" customWidth="1"/>
    <col min="5643" max="5644" width="8.88671875" style="163" bestFit="1" customWidth="1"/>
    <col min="5645" max="5645" width="9.88671875" style="163" bestFit="1" customWidth="1"/>
    <col min="5646" max="5646" width="8.88671875" style="163" bestFit="1" customWidth="1"/>
    <col min="5647" max="5647" width="9.88671875" style="163" bestFit="1" customWidth="1"/>
    <col min="5648" max="5888" width="8.88671875" style="163"/>
    <col min="5889" max="5889" width="34.109375" style="163" bestFit="1" customWidth="1"/>
    <col min="5890" max="5890" width="28.44140625" style="163" bestFit="1" customWidth="1"/>
    <col min="5891" max="5895" width="8.88671875" style="163" bestFit="1" customWidth="1"/>
    <col min="5896" max="5896" width="9.44140625" style="163" bestFit="1" customWidth="1"/>
    <col min="5897" max="5897" width="8.88671875" style="163" bestFit="1" customWidth="1"/>
    <col min="5898" max="5898" width="9.88671875" style="163" bestFit="1" customWidth="1"/>
    <col min="5899" max="5900" width="8.88671875" style="163" bestFit="1" customWidth="1"/>
    <col min="5901" max="5901" width="9.88671875" style="163" bestFit="1" customWidth="1"/>
    <col min="5902" max="5902" width="8.88671875" style="163" bestFit="1" customWidth="1"/>
    <col min="5903" max="5903" width="9.88671875" style="163" bestFit="1" customWidth="1"/>
    <col min="5904" max="6144" width="8.88671875" style="163"/>
    <col min="6145" max="6145" width="34.109375" style="163" bestFit="1" customWidth="1"/>
    <col min="6146" max="6146" width="28.44140625" style="163" bestFit="1" customWidth="1"/>
    <col min="6147" max="6151" width="8.88671875" style="163" bestFit="1" customWidth="1"/>
    <col min="6152" max="6152" width="9.44140625" style="163" bestFit="1" customWidth="1"/>
    <col min="6153" max="6153" width="8.88671875" style="163" bestFit="1" customWidth="1"/>
    <col min="6154" max="6154" width="9.88671875" style="163" bestFit="1" customWidth="1"/>
    <col min="6155" max="6156" width="8.88671875" style="163" bestFit="1" customWidth="1"/>
    <col min="6157" max="6157" width="9.88671875" style="163" bestFit="1" customWidth="1"/>
    <col min="6158" max="6158" width="8.88671875" style="163" bestFit="1" customWidth="1"/>
    <col min="6159" max="6159" width="9.88671875" style="163" bestFit="1" customWidth="1"/>
    <col min="6160" max="6400" width="8.88671875" style="163"/>
    <col min="6401" max="6401" width="34.109375" style="163" bestFit="1" customWidth="1"/>
    <col min="6402" max="6402" width="28.44140625" style="163" bestFit="1" customWidth="1"/>
    <col min="6403" max="6407" width="8.88671875" style="163" bestFit="1" customWidth="1"/>
    <col min="6408" max="6408" width="9.44140625" style="163" bestFit="1" customWidth="1"/>
    <col min="6409" max="6409" width="8.88671875" style="163" bestFit="1" customWidth="1"/>
    <col min="6410" max="6410" width="9.88671875" style="163" bestFit="1" customWidth="1"/>
    <col min="6411" max="6412" width="8.88671875" style="163" bestFit="1" customWidth="1"/>
    <col min="6413" max="6413" width="9.88671875" style="163" bestFit="1" customWidth="1"/>
    <col min="6414" max="6414" width="8.88671875" style="163" bestFit="1" customWidth="1"/>
    <col min="6415" max="6415" width="9.88671875" style="163" bestFit="1" customWidth="1"/>
    <col min="6416" max="6656" width="8.88671875" style="163"/>
    <col min="6657" max="6657" width="34.109375" style="163" bestFit="1" customWidth="1"/>
    <col min="6658" max="6658" width="28.44140625" style="163" bestFit="1" customWidth="1"/>
    <col min="6659" max="6663" width="8.88671875" style="163" bestFit="1" customWidth="1"/>
    <col min="6664" max="6664" width="9.44140625" style="163" bestFit="1" customWidth="1"/>
    <col min="6665" max="6665" width="8.88671875" style="163" bestFit="1" customWidth="1"/>
    <col min="6666" max="6666" width="9.88671875" style="163" bestFit="1" customWidth="1"/>
    <col min="6667" max="6668" width="8.88671875" style="163" bestFit="1" customWidth="1"/>
    <col min="6669" max="6669" width="9.88671875" style="163" bestFit="1" customWidth="1"/>
    <col min="6670" max="6670" width="8.88671875" style="163" bestFit="1" customWidth="1"/>
    <col min="6671" max="6671" width="9.88671875" style="163" bestFit="1" customWidth="1"/>
    <col min="6672" max="6912" width="8.88671875" style="163"/>
    <col min="6913" max="6913" width="34.109375" style="163" bestFit="1" customWidth="1"/>
    <col min="6914" max="6914" width="28.44140625" style="163" bestFit="1" customWidth="1"/>
    <col min="6915" max="6919" width="8.88671875" style="163" bestFit="1" customWidth="1"/>
    <col min="6920" max="6920" width="9.44140625" style="163" bestFit="1" customWidth="1"/>
    <col min="6921" max="6921" width="8.88671875" style="163" bestFit="1" customWidth="1"/>
    <col min="6922" max="6922" width="9.88671875" style="163" bestFit="1" customWidth="1"/>
    <col min="6923" max="6924" width="8.88671875" style="163" bestFit="1" customWidth="1"/>
    <col min="6925" max="6925" width="9.88671875" style="163" bestFit="1" customWidth="1"/>
    <col min="6926" max="6926" width="8.88671875" style="163" bestFit="1" customWidth="1"/>
    <col min="6927" max="6927" width="9.88671875" style="163" bestFit="1" customWidth="1"/>
    <col min="6928" max="7168" width="8.88671875" style="163"/>
    <col min="7169" max="7169" width="34.109375" style="163" bestFit="1" customWidth="1"/>
    <col min="7170" max="7170" width="28.44140625" style="163" bestFit="1" customWidth="1"/>
    <col min="7171" max="7175" width="8.88671875" style="163" bestFit="1" customWidth="1"/>
    <col min="7176" max="7176" width="9.44140625" style="163" bestFit="1" customWidth="1"/>
    <col min="7177" max="7177" width="8.88671875" style="163" bestFit="1" customWidth="1"/>
    <col min="7178" max="7178" width="9.88671875" style="163" bestFit="1" customWidth="1"/>
    <col min="7179" max="7180" width="8.88671875" style="163" bestFit="1" customWidth="1"/>
    <col min="7181" max="7181" width="9.88671875" style="163" bestFit="1" customWidth="1"/>
    <col min="7182" max="7182" width="8.88671875" style="163" bestFit="1" customWidth="1"/>
    <col min="7183" max="7183" width="9.88671875" style="163" bestFit="1" customWidth="1"/>
    <col min="7184" max="7424" width="8.88671875" style="163"/>
    <col min="7425" max="7425" width="34.109375" style="163" bestFit="1" customWidth="1"/>
    <col min="7426" max="7426" width="28.44140625" style="163" bestFit="1" customWidth="1"/>
    <col min="7427" max="7431" width="8.88671875" style="163" bestFit="1" customWidth="1"/>
    <col min="7432" max="7432" width="9.44140625" style="163" bestFit="1" customWidth="1"/>
    <col min="7433" max="7433" width="8.88671875" style="163" bestFit="1" customWidth="1"/>
    <col min="7434" max="7434" width="9.88671875" style="163" bestFit="1" customWidth="1"/>
    <col min="7435" max="7436" width="8.88671875" style="163" bestFit="1" customWidth="1"/>
    <col min="7437" max="7437" width="9.88671875" style="163" bestFit="1" customWidth="1"/>
    <col min="7438" max="7438" width="8.88671875" style="163" bestFit="1" customWidth="1"/>
    <col min="7439" max="7439" width="9.88671875" style="163" bestFit="1" customWidth="1"/>
    <col min="7440" max="7680" width="8.88671875" style="163"/>
    <col min="7681" max="7681" width="34.109375" style="163" bestFit="1" customWidth="1"/>
    <col min="7682" max="7682" width="28.44140625" style="163" bestFit="1" customWidth="1"/>
    <col min="7683" max="7687" width="8.88671875" style="163" bestFit="1" customWidth="1"/>
    <col min="7688" max="7688" width="9.44140625" style="163" bestFit="1" customWidth="1"/>
    <col min="7689" max="7689" width="8.88671875" style="163" bestFit="1" customWidth="1"/>
    <col min="7690" max="7690" width="9.88671875" style="163" bestFit="1" customWidth="1"/>
    <col min="7691" max="7692" width="8.88671875" style="163" bestFit="1" customWidth="1"/>
    <col min="7693" max="7693" width="9.88671875" style="163" bestFit="1" customWidth="1"/>
    <col min="7694" max="7694" width="8.88671875" style="163" bestFit="1" customWidth="1"/>
    <col min="7695" max="7695" width="9.88671875" style="163" bestFit="1" customWidth="1"/>
    <col min="7696" max="7936" width="8.88671875" style="163"/>
    <col min="7937" max="7937" width="34.109375" style="163" bestFit="1" customWidth="1"/>
    <col min="7938" max="7938" width="28.44140625" style="163" bestFit="1" customWidth="1"/>
    <col min="7939" max="7943" width="8.88671875" style="163" bestFit="1" customWidth="1"/>
    <col min="7944" max="7944" width="9.44140625" style="163" bestFit="1" customWidth="1"/>
    <col min="7945" max="7945" width="8.88671875" style="163" bestFit="1" customWidth="1"/>
    <col min="7946" max="7946" width="9.88671875" style="163" bestFit="1" customWidth="1"/>
    <col min="7947" max="7948" width="8.88671875" style="163" bestFit="1" customWidth="1"/>
    <col min="7949" max="7949" width="9.88671875" style="163" bestFit="1" customWidth="1"/>
    <col min="7950" max="7950" width="8.88671875" style="163" bestFit="1" customWidth="1"/>
    <col min="7951" max="7951" width="9.88671875" style="163" bestFit="1" customWidth="1"/>
    <col min="7952" max="8192" width="8.88671875" style="163"/>
    <col min="8193" max="8193" width="34.109375" style="163" bestFit="1" customWidth="1"/>
    <col min="8194" max="8194" width="28.44140625" style="163" bestFit="1" customWidth="1"/>
    <col min="8195" max="8199" width="8.88671875" style="163" bestFit="1" customWidth="1"/>
    <col min="8200" max="8200" width="9.44140625" style="163" bestFit="1" customWidth="1"/>
    <col min="8201" max="8201" width="8.88671875" style="163" bestFit="1" customWidth="1"/>
    <col min="8202" max="8202" width="9.88671875" style="163" bestFit="1" customWidth="1"/>
    <col min="8203" max="8204" width="8.88671875" style="163" bestFit="1" customWidth="1"/>
    <col min="8205" max="8205" width="9.88671875" style="163" bestFit="1" customWidth="1"/>
    <col min="8206" max="8206" width="8.88671875" style="163" bestFit="1" customWidth="1"/>
    <col min="8207" max="8207" width="9.88671875" style="163" bestFit="1" customWidth="1"/>
    <col min="8208" max="8448" width="8.88671875" style="163"/>
    <col min="8449" max="8449" width="34.109375" style="163" bestFit="1" customWidth="1"/>
    <col min="8450" max="8450" width="28.44140625" style="163" bestFit="1" customWidth="1"/>
    <col min="8451" max="8455" width="8.88671875" style="163" bestFit="1" customWidth="1"/>
    <col min="8456" max="8456" width="9.44140625" style="163" bestFit="1" customWidth="1"/>
    <col min="8457" max="8457" width="8.88671875" style="163" bestFit="1" customWidth="1"/>
    <col min="8458" max="8458" width="9.88671875" style="163" bestFit="1" customWidth="1"/>
    <col min="8459" max="8460" width="8.88671875" style="163" bestFit="1" customWidth="1"/>
    <col min="8461" max="8461" width="9.88671875" style="163" bestFit="1" customWidth="1"/>
    <col min="8462" max="8462" width="8.88671875" style="163" bestFit="1" customWidth="1"/>
    <col min="8463" max="8463" width="9.88671875" style="163" bestFit="1" customWidth="1"/>
    <col min="8464" max="8704" width="8.88671875" style="163"/>
    <col min="8705" max="8705" width="34.109375" style="163" bestFit="1" customWidth="1"/>
    <col min="8706" max="8706" width="28.44140625" style="163" bestFit="1" customWidth="1"/>
    <col min="8707" max="8711" width="8.88671875" style="163" bestFit="1" customWidth="1"/>
    <col min="8712" max="8712" width="9.44140625" style="163" bestFit="1" customWidth="1"/>
    <col min="8713" max="8713" width="8.88671875" style="163" bestFit="1" customWidth="1"/>
    <col min="8714" max="8714" width="9.88671875" style="163" bestFit="1" customWidth="1"/>
    <col min="8715" max="8716" width="8.88671875" style="163" bestFit="1" customWidth="1"/>
    <col min="8717" max="8717" width="9.88671875" style="163" bestFit="1" customWidth="1"/>
    <col min="8718" max="8718" width="8.88671875" style="163" bestFit="1" customWidth="1"/>
    <col min="8719" max="8719" width="9.88671875" style="163" bestFit="1" customWidth="1"/>
    <col min="8720" max="8960" width="8.88671875" style="163"/>
    <col min="8961" max="8961" width="34.109375" style="163" bestFit="1" customWidth="1"/>
    <col min="8962" max="8962" width="28.44140625" style="163" bestFit="1" customWidth="1"/>
    <col min="8963" max="8967" width="8.88671875" style="163" bestFit="1" customWidth="1"/>
    <col min="8968" max="8968" width="9.44140625" style="163" bestFit="1" customWidth="1"/>
    <col min="8969" max="8969" width="8.88671875" style="163" bestFit="1" customWidth="1"/>
    <col min="8970" max="8970" width="9.88671875" style="163" bestFit="1" customWidth="1"/>
    <col min="8971" max="8972" width="8.88671875" style="163" bestFit="1" customWidth="1"/>
    <col min="8973" max="8973" width="9.88671875" style="163" bestFit="1" customWidth="1"/>
    <col min="8974" max="8974" width="8.88671875" style="163" bestFit="1" customWidth="1"/>
    <col min="8975" max="8975" width="9.88671875" style="163" bestFit="1" customWidth="1"/>
    <col min="8976" max="9216" width="8.88671875" style="163"/>
    <col min="9217" max="9217" width="34.109375" style="163" bestFit="1" customWidth="1"/>
    <col min="9218" max="9218" width="28.44140625" style="163" bestFit="1" customWidth="1"/>
    <col min="9219" max="9223" width="8.88671875" style="163" bestFit="1" customWidth="1"/>
    <col min="9224" max="9224" width="9.44140625" style="163" bestFit="1" customWidth="1"/>
    <col min="9225" max="9225" width="8.88671875" style="163" bestFit="1" customWidth="1"/>
    <col min="9226" max="9226" width="9.88671875" style="163" bestFit="1" customWidth="1"/>
    <col min="9227" max="9228" width="8.88671875" style="163" bestFit="1" customWidth="1"/>
    <col min="9229" max="9229" width="9.88671875" style="163" bestFit="1" customWidth="1"/>
    <col min="9230" max="9230" width="8.88671875" style="163" bestFit="1" customWidth="1"/>
    <col min="9231" max="9231" width="9.88671875" style="163" bestFit="1" customWidth="1"/>
    <col min="9232" max="9472" width="8.88671875" style="163"/>
    <col min="9473" max="9473" width="34.109375" style="163" bestFit="1" customWidth="1"/>
    <col min="9474" max="9474" width="28.44140625" style="163" bestFit="1" customWidth="1"/>
    <col min="9475" max="9479" width="8.88671875" style="163" bestFit="1" customWidth="1"/>
    <col min="9480" max="9480" width="9.44140625" style="163" bestFit="1" customWidth="1"/>
    <col min="9481" max="9481" width="8.88671875" style="163" bestFit="1" customWidth="1"/>
    <col min="9482" max="9482" width="9.88671875" style="163" bestFit="1" customWidth="1"/>
    <col min="9483" max="9484" width="8.88671875" style="163" bestFit="1" customWidth="1"/>
    <col min="9485" max="9485" width="9.88671875" style="163" bestFit="1" customWidth="1"/>
    <col min="9486" max="9486" width="8.88671875" style="163" bestFit="1" customWidth="1"/>
    <col min="9487" max="9487" width="9.88671875" style="163" bestFit="1" customWidth="1"/>
    <col min="9488" max="9728" width="8.88671875" style="163"/>
    <col min="9729" max="9729" width="34.109375" style="163" bestFit="1" customWidth="1"/>
    <col min="9730" max="9730" width="28.44140625" style="163" bestFit="1" customWidth="1"/>
    <col min="9731" max="9735" width="8.88671875" style="163" bestFit="1" customWidth="1"/>
    <col min="9736" max="9736" width="9.44140625" style="163" bestFit="1" customWidth="1"/>
    <col min="9737" max="9737" width="8.88671875" style="163" bestFit="1" customWidth="1"/>
    <col min="9738" max="9738" width="9.88671875" style="163" bestFit="1" customWidth="1"/>
    <col min="9739" max="9740" width="8.88671875" style="163" bestFit="1" customWidth="1"/>
    <col min="9741" max="9741" width="9.88671875" style="163" bestFit="1" customWidth="1"/>
    <col min="9742" max="9742" width="8.88671875" style="163" bestFit="1" customWidth="1"/>
    <col min="9743" max="9743" width="9.88671875" style="163" bestFit="1" customWidth="1"/>
    <col min="9744" max="9984" width="8.88671875" style="163"/>
    <col min="9985" max="9985" width="34.109375" style="163" bestFit="1" customWidth="1"/>
    <col min="9986" max="9986" width="28.44140625" style="163" bestFit="1" customWidth="1"/>
    <col min="9987" max="9991" width="8.88671875" style="163" bestFit="1" customWidth="1"/>
    <col min="9992" max="9992" width="9.44140625" style="163" bestFit="1" customWidth="1"/>
    <col min="9993" max="9993" width="8.88671875" style="163" bestFit="1" customWidth="1"/>
    <col min="9994" max="9994" width="9.88671875" style="163" bestFit="1" customWidth="1"/>
    <col min="9995" max="9996" width="8.88671875" style="163" bestFit="1" customWidth="1"/>
    <col min="9997" max="9997" width="9.88671875" style="163" bestFit="1" customWidth="1"/>
    <col min="9998" max="9998" width="8.88671875" style="163" bestFit="1" customWidth="1"/>
    <col min="9999" max="9999" width="9.88671875" style="163" bestFit="1" customWidth="1"/>
    <col min="10000" max="10240" width="8.88671875" style="163"/>
    <col min="10241" max="10241" width="34.109375" style="163" bestFit="1" customWidth="1"/>
    <col min="10242" max="10242" width="28.44140625" style="163" bestFit="1" customWidth="1"/>
    <col min="10243" max="10247" width="8.88671875" style="163" bestFit="1" customWidth="1"/>
    <col min="10248" max="10248" width="9.44140625" style="163" bestFit="1" customWidth="1"/>
    <col min="10249" max="10249" width="8.88671875" style="163" bestFit="1" customWidth="1"/>
    <col min="10250" max="10250" width="9.88671875" style="163" bestFit="1" customWidth="1"/>
    <col min="10251" max="10252" width="8.88671875" style="163" bestFit="1" customWidth="1"/>
    <col min="10253" max="10253" width="9.88671875" style="163" bestFit="1" customWidth="1"/>
    <col min="10254" max="10254" width="8.88671875" style="163" bestFit="1" customWidth="1"/>
    <col min="10255" max="10255" width="9.88671875" style="163" bestFit="1" customWidth="1"/>
    <col min="10256" max="10496" width="8.88671875" style="163"/>
    <col min="10497" max="10497" width="34.109375" style="163" bestFit="1" customWidth="1"/>
    <col min="10498" max="10498" width="28.44140625" style="163" bestFit="1" customWidth="1"/>
    <col min="10499" max="10503" width="8.88671875" style="163" bestFit="1" customWidth="1"/>
    <col min="10504" max="10504" width="9.44140625" style="163" bestFit="1" customWidth="1"/>
    <col min="10505" max="10505" width="8.88671875" style="163" bestFit="1" customWidth="1"/>
    <col min="10506" max="10506" width="9.88671875" style="163" bestFit="1" customWidth="1"/>
    <col min="10507" max="10508" width="8.88671875" style="163" bestFit="1" customWidth="1"/>
    <col min="10509" max="10509" width="9.88671875" style="163" bestFit="1" customWidth="1"/>
    <col min="10510" max="10510" width="8.88671875" style="163" bestFit="1" customWidth="1"/>
    <col min="10511" max="10511" width="9.88671875" style="163" bestFit="1" customWidth="1"/>
    <col min="10512" max="10752" width="8.88671875" style="163"/>
    <col min="10753" max="10753" width="34.109375" style="163" bestFit="1" customWidth="1"/>
    <col min="10754" max="10754" width="28.44140625" style="163" bestFit="1" customWidth="1"/>
    <col min="10755" max="10759" width="8.88671875" style="163" bestFit="1" customWidth="1"/>
    <col min="10760" max="10760" width="9.44140625" style="163" bestFit="1" customWidth="1"/>
    <col min="10761" max="10761" width="8.88671875" style="163" bestFit="1" customWidth="1"/>
    <col min="10762" max="10762" width="9.88671875" style="163" bestFit="1" customWidth="1"/>
    <col min="10763" max="10764" width="8.88671875" style="163" bestFit="1" customWidth="1"/>
    <col min="10765" max="10765" width="9.88671875" style="163" bestFit="1" customWidth="1"/>
    <col min="10766" max="10766" width="8.88671875" style="163" bestFit="1" customWidth="1"/>
    <col min="10767" max="10767" width="9.88671875" style="163" bestFit="1" customWidth="1"/>
    <col min="10768" max="11008" width="8.88671875" style="163"/>
    <col min="11009" max="11009" width="34.109375" style="163" bestFit="1" customWidth="1"/>
    <col min="11010" max="11010" width="28.44140625" style="163" bestFit="1" customWidth="1"/>
    <col min="11011" max="11015" width="8.88671875" style="163" bestFit="1" customWidth="1"/>
    <col min="11016" max="11016" width="9.44140625" style="163" bestFit="1" customWidth="1"/>
    <col min="11017" max="11017" width="8.88671875" style="163" bestFit="1" customWidth="1"/>
    <col min="11018" max="11018" width="9.88671875" style="163" bestFit="1" customWidth="1"/>
    <col min="11019" max="11020" width="8.88671875" style="163" bestFit="1" customWidth="1"/>
    <col min="11021" max="11021" width="9.88671875" style="163" bestFit="1" customWidth="1"/>
    <col min="11022" max="11022" width="8.88671875" style="163" bestFit="1" customWidth="1"/>
    <col min="11023" max="11023" width="9.88671875" style="163" bestFit="1" customWidth="1"/>
    <col min="11024" max="11264" width="8.88671875" style="163"/>
    <col min="11265" max="11265" width="34.109375" style="163" bestFit="1" customWidth="1"/>
    <col min="11266" max="11266" width="28.44140625" style="163" bestFit="1" customWidth="1"/>
    <col min="11267" max="11271" width="8.88671875" style="163" bestFit="1" customWidth="1"/>
    <col min="11272" max="11272" width="9.44140625" style="163" bestFit="1" customWidth="1"/>
    <col min="11273" max="11273" width="8.88671875" style="163" bestFit="1" customWidth="1"/>
    <col min="11274" max="11274" width="9.88671875" style="163" bestFit="1" customWidth="1"/>
    <col min="11275" max="11276" width="8.88671875" style="163" bestFit="1" customWidth="1"/>
    <col min="11277" max="11277" width="9.88671875" style="163" bestFit="1" customWidth="1"/>
    <col min="11278" max="11278" width="8.88671875" style="163" bestFit="1" customWidth="1"/>
    <col min="11279" max="11279" width="9.88671875" style="163" bestFit="1" customWidth="1"/>
    <col min="11280" max="11520" width="8.88671875" style="163"/>
    <col min="11521" max="11521" width="34.109375" style="163" bestFit="1" customWidth="1"/>
    <col min="11522" max="11522" width="28.44140625" style="163" bestFit="1" customWidth="1"/>
    <col min="11523" max="11527" width="8.88671875" style="163" bestFit="1" customWidth="1"/>
    <col min="11528" max="11528" width="9.44140625" style="163" bestFit="1" customWidth="1"/>
    <col min="11529" max="11529" width="8.88671875" style="163" bestFit="1" customWidth="1"/>
    <col min="11530" max="11530" width="9.88671875" style="163" bestFit="1" customWidth="1"/>
    <col min="11531" max="11532" width="8.88671875" style="163" bestFit="1" customWidth="1"/>
    <col min="11533" max="11533" width="9.88671875" style="163" bestFit="1" customWidth="1"/>
    <col min="11534" max="11534" width="8.88671875" style="163" bestFit="1" customWidth="1"/>
    <col min="11535" max="11535" width="9.88671875" style="163" bestFit="1" customWidth="1"/>
    <col min="11536" max="11776" width="8.88671875" style="163"/>
    <col min="11777" max="11777" width="34.109375" style="163" bestFit="1" customWidth="1"/>
    <col min="11778" max="11778" width="28.44140625" style="163" bestFit="1" customWidth="1"/>
    <col min="11779" max="11783" width="8.88671875" style="163" bestFit="1" customWidth="1"/>
    <col min="11784" max="11784" width="9.44140625" style="163" bestFit="1" customWidth="1"/>
    <col min="11785" max="11785" width="8.88671875" style="163" bestFit="1" customWidth="1"/>
    <col min="11786" max="11786" width="9.88671875" style="163" bestFit="1" customWidth="1"/>
    <col min="11787" max="11788" width="8.88671875" style="163" bestFit="1" customWidth="1"/>
    <col min="11789" max="11789" width="9.88671875" style="163" bestFit="1" customWidth="1"/>
    <col min="11790" max="11790" width="8.88671875" style="163" bestFit="1" customWidth="1"/>
    <col min="11791" max="11791" width="9.88671875" style="163" bestFit="1" customWidth="1"/>
    <col min="11792" max="12032" width="8.88671875" style="163"/>
    <col min="12033" max="12033" width="34.109375" style="163" bestFit="1" customWidth="1"/>
    <col min="12034" max="12034" width="28.44140625" style="163" bestFit="1" customWidth="1"/>
    <col min="12035" max="12039" width="8.88671875" style="163" bestFit="1" customWidth="1"/>
    <col min="12040" max="12040" width="9.44140625" style="163" bestFit="1" customWidth="1"/>
    <col min="12041" max="12041" width="8.88671875" style="163" bestFit="1" customWidth="1"/>
    <col min="12042" max="12042" width="9.88671875" style="163" bestFit="1" customWidth="1"/>
    <col min="12043" max="12044" width="8.88671875" style="163" bestFit="1" customWidth="1"/>
    <col min="12045" max="12045" width="9.88671875" style="163" bestFit="1" customWidth="1"/>
    <col min="12046" max="12046" width="8.88671875" style="163" bestFit="1" customWidth="1"/>
    <col min="12047" max="12047" width="9.88671875" style="163" bestFit="1" customWidth="1"/>
    <col min="12048" max="12288" width="8.88671875" style="163"/>
    <col min="12289" max="12289" width="34.109375" style="163" bestFit="1" customWidth="1"/>
    <col min="12290" max="12290" width="28.44140625" style="163" bestFit="1" customWidth="1"/>
    <col min="12291" max="12295" width="8.88671875" style="163" bestFit="1" customWidth="1"/>
    <col min="12296" max="12296" width="9.44140625" style="163" bestFit="1" customWidth="1"/>
    <col min="12297" max="12297" width="8.88671875" style="163" bestFit="1" customWidth="1"/>
    <col min="12298" max="12298" width="9.88671875" style="163" bestFit="1" customWidth="1"/>
    <col min="12299" max="12300" width="8.88671875" style="163" bestFit="1" customWidth="1"/>
    <col min="12301" max="12301" width="9.88671875" style="163" bestFit="1" customWidth="1"/>
    <col min="12302" max="12302" width="8.88671875" style="163" bestFit="1" customWidth="1"/>
    <col min="12303" max="12303" width="9.88671875" style="163" bestFit="1" customWidth="1"/>
    <col min="12304" max="12544" width="8.88671875" style="163"/>
    <col min="12545" max="12545" width="34.109375" style="163" bestFit="1" customWidth="1"/>
    <col min="12546" max="12546" width="28.44140625" style="163" bestFit="1" customWidth="1"/>
    <col min="12547" max="12551" width="8.88671875" style="163" bestFit="1" customWidth="1"/>
    <col min="12552" max="12552" width="9.44140625" style="163" bestFit="1" customWidth="1"/>
    <col min="12553" max="12553" width="8.88671875" style="163" bestFit="1" customWidth="1"/>
    <col min="12554" max="12554" width="9.88671875" style="163" bestFit="1" customWidth="1"/>
    <col min="12555" max="12556" width="8.88671875" style="163" bestFit="1" customWidth="1"/>
    <col min="12557" max="12557" width="9.88671875" style="163" bestFit="1" customWidth="1"/>
    <col min="12558" max="12558" width="8.88671875" style="163" bestFit="1" customWidth="1"/>
    <col min="12559" max="12559" width="9.88671875" style="163" bestFit="1" customWidth="1"/>
    <col min="12560" max="12800" width="8.88671875" style="163"/>
    <col min="12801" max="12801" width="34.109375" style="163" bestFit="1" customWidth="1"/>
    <col min="12802" max="12802" width="28.44140625" style="163" bestFit="1" customWidth="1"/>
    <col min="12803" max="12807" width="8.88671875" style="163" bestFit="1" customWidth="1"/>
    <col min="12808" max="12808" width="9.44140625" style="163" bestFit="1" customWidth="1"/>
    <col min="12809" max="12809" width="8.88671875" style="163" bestFit="1" customWidth="1"/>
    <col min="12810" max="12810" width="9.88671875" style="163" bestFit="1" customWidth="1"/>
    <col min="12811" max="12812" width="8.88671875" style="163" bestFit="1" customWidth="1"/>
    <col min="12813" max="12813" width="9.88671875" style="163" bestFit="1" customWidth="1"/>
    <col min="12814" max="12814" width="8.88671875" style="163" bestFit="1" customWidth="1"/>
    <col min="12815" max="12815" width="9.88671875" style="163" bestFit="1" customWidth="1"/>
    <col min="12816" max="13056" width="8.88671875" style="163"/>
    <col min="13057" max="13057" width="34.109375" style="163" bestFit="1" customWidth="1"/>
    <col min="13058" max="13058" width="28.44140625" style="163" bestFit="1" customWidth="1"/>
    <col min="13059" max="13063" width="8.88671875" style="163" bestFit="1" customWidth="1"/>
    <col min="13064" max="13064" width="9.44140625" style="163" bestFit="1" customWidth="1"/>
    <col min="13065" max="13065" width="8.88671875" style="163" bestFit="1" customWidth="1"/>
    <col min="13066" max="13066" width="9.88671875" style="163" bestFit="1" customWidth="1"/>
    <col min="13067" max="13068" width="8.88671875" style="163" bestFit="1" customWidth="1"/>
    <col min="13069" max="13069" width="9.88671875" style="163" bestFit="1" customWidth="1"/>
    <col min="13070" max="13070" width="8.88671875" style="163" bestFit="1" customWidth="1"/>
    <col min="13071" max="13071" width="9.88671875" style="163" bestFit="1" customWidth="1"/>
    <col min="13072" max="13312" width="8.88671875" style="163"/>
    <col min="13313" max="13313" width="34.109375" style="163" bestFit="1" customWidth="1"/>
    <col min="13314" max="13314" width="28.44140625" style="163" bestFit="1" customWidth="1"/>
    <col min="13315" max="13319" width="8.88671875" style="163" bestFit="1" customWidth="1"/>
    <col min="13320" max="13320" width="9.44140625" style="163" bestFit="1" customWidth="1"/>
    <col min="13321" max="13321" width="8.88671875" style="163" bestFit="1" customWidth="1"/>
    <col min="13322" max="13322" width="9.88671875" style="163" bestFit="1" customWidth="1"/>
    <col min="13323" max="13324" width="8.88671875" style="163" bestFit="1" customWidth="1"/>
    <col min="13325" max="13325" width="9.88671875" style="163" bestFit="1" customWidth="1"/>
    <col min="13326" max="13326" width="8.88671875" style="163" bestFit="1" customWidth="1"/>
    <col min="13327" max="13327" width="9.88671875" style="163" bestFit="1" customWidth="1"/>
    <col min="13328" max="13568" width="8.88671875" style="163"/>
    <col min="13569" max="13569" width="34.109375" style="163" bestFit="1" customWidth="1"/>
    <col min="13570" max="13570" width="28.44140625" style="163" bestFit="1" customWidth="1"/>
    <col min="13571" max="13575" width="8.88671875" style="163" bestFit="1" customWidth="1"/>
    <col min="13576" max="13576" width="9.44140625" style="163" bestFit="1" customWidth="1"/>
    <col min="13577" max="13577" width="8.88671875" style="163" bestFit="1" customWidth="1"/>
    <col min="13578" max="13578" width="9.88671875" style="163" bestFit="1" customWidth="1"/>
    <col min="13579" max="13580" width="8.88671875" style="163" bestFit="1" customWidth="1"/>
    <col min="13581" max="13581" width="9.88671875" style="163" bestFit="1" customWidth="1"/>
    <col min="13582" max="13582" width="8.88671875" style="163" bestFit="1" customWidth="1"/>
    <col min="13583" max="13583" width="9.88671875" style="163" bestFit="1" customWidth="1"/>
    <col min="13584" max="13824" width="8.88671875" style="163"/>
    <col min="13825" max="13825" width="34.109375" style="163" bestFit="1" customWidth="1"/>
    <col min="13826" max="13826" width="28.44140625" style="163" bestFit="1" customWidth="1"/>
    <col min="13827" max="13831" width="8.88671875" style="163" bestFit="1" customWidth="1"/>
    <col min="13832" max="13832" width="9.44140625" style="163" bestFit="1" customWidth="1"/>
    <col min="13833" max="13833" width="8.88671875" style="163" bestFit="1" customWidth="1"/>
    <col min="13834" max="13834" width="9.88671875" style="163" bestFit="1" customWidth="1"/>
    <col min="13835" max="13836" width="8.88671875" style="163" bestFit="1" customWidth="1"/>
    <col min="13837" max="13837" width="9.88671875" style="163" bestFit="1" customWidth="1"/>
    <col min="13838" max="13838" width="8.88671875" style="163" bestFit="1" customWidth="1"/>
    <col min="13839" max="13839" width="9.88671875" style="163" bestFit="1" customWidth="1"/>
    <col min="13840" max="14080" width="8.88671875" style="163"/>
    <col min="14081" max="14081" width="34.109375" style="163" bestFit="1" customWidth="1"/>
    <col min="14082" max="14082" width="28.44140625" style="163" bestFit="1" customWidth="1"/>
    <col min="14083" max="14087" width="8.88671875" style="163" bestFit="1" customWidth="1"/>
    <col min="14088" max="14088" width="9.44140625" style="163" bestFit="1" customWidth="1"/>
    <col min="14089" max="14089" width="8.88671875" style="163" bestFit="1" customWidth="1"/>
    <col min="14090" max="14090" width="9.88671875" style="163" bestFit="1" customWidth="1"/>
    <col min="14091" max="14092" width="8.88671875" style="163" bestFit="1" customWidth="1"/>
    <col min="14093" max="14093" width="9.88671875" style="163" bestFit="1" customWidth="1"/>
    <col min="14094" max="14094" width="8.88671875" style="163" bestFit="1" customWidth="1"/>
    <col min="14095" max="14095" width="9.88671875" style="163" bestFit="1" customWidth="1"/>
    <col min="14096" max="14336" width="8.88671875" style="163"/>
    <col min="14337" max="14337" width="34.109375" style="163" bestFit="1" customWidth="1"/>
    <col min="14338" max="14338" width="28.44140625" style="163" bestFit="1" customWidth="1"/>
    <col min="14339" max="14343" width="8.88671875" style="163" bestFit="1" customWidth="1"/>
    <col min="14344" max="14344" width="9.44140625" style="163" bestFit="1" customWidth="1"/>
    <col min="14345" max="14345" width="8.88671875" style="163" bestFit="1" customWidth="1"/>
    <col min="14346" max="14346" width="9.88671875" style="163" bestFit="1" customWidth="1"/>
    <col min="14347" max="14348" width="8.88671875" style="163" bestFit="1" customWidth="1"/>
    <col min="14349" max="14349" width="9.88671875" style="163" bestFit="1" customWidth="1"/>
    <col min="14350" max="14350" width="8.88671875" style="163" bestFit="1" customWidth="1"/>
    <col min="14351" max="14351" width="9.88671875" style="163" bestFit="1" customWidth="1"/>
    <col min="14352" max="14592" width="8.88671875" style="163"/>
    <col min="14593" max="14593" width="34.109375" style="163" bestFit="1" customWidth="1"/>
    <col min="14594" max="14594" width="28.44140625" style="163" bestFit="1" customWidth="1"/>
    <col min="14595" max="14599" width="8.88671875" style="163" bestFit="1" customWidth="1"/>
    <col min="14600" max="14600" width="9.44140625" style="163" bestFit="1" customWidth="1"/>
    <col min="14601" max="14601" width="8.88671875" style="163" bestFit="1" customWidth="1"/>
    <col min="14602" max="14602" width="9.88671875" style="163" bestFit="1" customWidth="1"/>
    <col min="14603" max="14604" width="8.88671875" style="163" bestFit="1" customWidth="1"/>
    <col min="14605" max="14605" width="9.88671875" style="163" bestFit="1" customWidth="1"/>
    <col min="14606" max="14606" width="8.88671875" style="163" bestFit="1" customWidth="1"/>
    <col min="14607" max="14607" width="9.88671875" style="163" bestFit="1" customWidth="1"/>
    <col min="14608" max="14848" width="8.88671875" style="163"/>
    <col min="14849" max="14849" width="34.109375" style="163" bestFit="1" customWidth="1"/>
    <col min="14850" max="14850" width="28.44140625" style="163" bestFit="1" customWidth="1"/>
    <col min="14851" max="14855" width="8.88671875" style="163" bestFit="1" customWidth="1"/>
    <col min="14856" max="14856" width="9.44140625" style="163" bestFit="1" customWidth="1"/>
    <col min="14857" max="14857" width="8.88671875" style="163" bestFit="1" customWidth="1"/>
    <col min="14858" max="14858" width="9.88671875" style="163" bestFit="1" customWidth="1"/>
    <col min="14859" max="14860" width="8.88671875" style="163" bestFit="1" customWidth="1"/>
    <col min="14861" max="14861" width="9.88671875" style="163" bestFit="1" customWidth="1"/>
    <col min="14862" max="14862" width="8.88671875" style="163" bestFit="1" customWidth="1"/>
    <col min="14863" max="14863" width="9.88671875" style="163" bestFit="1" customWidth="1"/>
    <col min="14864" max="15104" width="8.88671875" style="163"/>
    <col min="15105" max="15105" width="34.109375" style="163" bestFit="1" customWidth="1"/>
    <col min="15106" max="15106" width="28.44140625" style="163" bestFit="1" customWidth="1"/>
    <col min="15107" max="15111" width="8.88671875" style="163" bestFit="1" customWidth="1"/>
    <col min="15112" max="15112" width="9.44140625" style="163" bestFit="1" customWidth="1"/>
    <col min="15113" max="15113" width="8.88671875" style="163" bestFit="1" customWidth="1"/>
    <col min="15114" max="15114" width="9.88671875" style="163" bestFit="1" customWidth="1"/>
    <col min="15115" max="15116" width="8.88671875" style="163" bestFit="1" customWidth="1"/>
    <col min="15117" max="15117" width="9.88671875" style="163" bestFit="1" customWidth="1"/>
    <col min="15118" max="15118" width="8.88671875" style="163" bestFit="1" customWidth="1"/>
    <col min="15119" max="15119" width="9.88671875" style="163" bestFit="1" customWidth="1"/>
    <col min="15120" max="15360" width="8.88671875" style="163"/>
    <col min="15361" max="15361" width="34.109375" style="163" bestFit="1" customWidth="1"/>
    <col min="15362" max="15362" width="28.44140625" style="163" bestFit="1" customWidth="1"/>
    <col min="15363" max="15367" width="8.88671875" style="163" bestFit="1" customWidth="1"/>
    <col min="15368" max="15368" width="9.44140625" style="163" bestFit="1" customWidth="1"/>
    <col min="15369" max="15369" width="8.88671875" style="163" bestFit="1" customWidth="1"/>
    <col min="15370" max="15370" width="9.88671875" style="163" bestFit="1" customWidth="1"/>
    <col min="15371" max="15372" width="8.88671875" style="163" bestFit="1" customWidth="1"/>
    <col min="15373" max="15373" width="9.88671875" style="163" bestFit="1" customWidth="1"/>
    <col min="15374" max="15374" width="8.88671875" style="163" bestFit="1" customWidth="1"/>
    <col min="15375" max="15375" width="9.88671875" style="163" bestFit="1" customWidth="1"/>
    <col min="15376" max="15616" width="8.88671875" style="163"/>
    <col min="15617" max="15617" width="34.109375" style="163" bestFit="1" customWidth="1"/>
    <col min="15618" max="15618" width="28.44140625" style="163" bestFit="1" customWidth="1"/>
    <col min="15619" max="15623" width="8.88671875" style="163" bestFit="1" customWidth="1"/>
    <col min="15624" max="15624" width="9.44140625" style="163" bestFit="1" customWidth="1"/>
    <col min="15625" max="15625" width="8.88671875" style="163" bestFit="1" customWidth="1"/>
    <col min="15626" max="15626" width="9.88671875" style="163" bestFit="1" customWidth="1"/>
    <col min="15627" max="15628" width="8.88671875" style="163" bestFit="1" customWidth="1"/>
    <col min="15629" max="15629" width="9.88671875" style="163" bestFit="1" customWidth="1"/>
    <col min="15630" max="15630" width="8.88671875" style="163" bestFit="1" customWidth="1"/>
    <col min="15631" max="15631" width="9.88671875" style="163" bestFit="1" customWidth="1"/>
    <col min="15632" max="15872" width="8.88671875" style="163"/>
    <col min="15873" max="15873" width="34.109375" style="163" bestFit="1" customWidth="1"/>
    <col min="15874" max="15874" width="28.44140625" style="163" bestFit="1" customWidth="1"/>
    <col min="15875" max="15879" width="8.88671875" style="163" bestFit="1" customWidth="1"/>
    <col min="15880" max="15880" width="9.44140625" style="163" bestFit="1" customWidth="1"/>
    <col min="15881" max="15881" width="8.88671875" style="163" bestFit="1" customWidth="1"/>
    <col min="15882" max="15882" width="9.88671875" style="163" bestFit="1" customWidth="1"/>
    <col min="15883" max="15884" width="8.88671875" style="163" bestFit="1" customWidth="1"/>
    <col min="15885" max="15885" width="9.88671875" style="163" bestFit="1" customWidth="1"/>
    <col min="15886" max="15886" width="8.88671875" style="163" bestFit="1" customWidth="1"/>
    <col min="15887" max="15887" width="9.88671875" style="163" bestFit="1" customWidth="1"/>
    <col min="15888" max="16128" width="8.88671875" style="163"/>
    <col min="16129" max="16129" width="34.109375" style="163" bestFit="1" customWidth="1"/>
    <col min="16130" max="16130" width="28.44140625" style="163" bestFit="1" customWidth="1"/>
    <col min="16131" max="16135" width="8.88671875" style="163" bestFit="1" customWidth="1"/>
    <col min="16136" max="16136" width="9.44140625" style="163" bestFit="1" customWidth="1"/>
    <col min="16137" max="16137" width="8.88671875" style="163" bestFit="1" customWidth="1"/>
    <col min="16138" max="16138" width="9.88671875" style="163" bestFit="1" customWidth="1"/>
    <col min="16139" max="16140" width="8.88671875" style="163" bestFit="1" customWidth="1"/>
    <col min="16141" max="16141" width="9.88671875" style="163" bestFit="1" customWidth="1"/>
    <col min="16142" max="16142" width="8.88671875" style="163" bestFit="1" customWidth="1"/>
    <col min="16143" max="16143" width="9.88671875" style="163" bestFit="1" customWidth="1"/>
    <col min="16144" max="16384" width="8.88671875" style="163"/>
  </cols>
  <sheetData>
    <row r="1" spans="1:21" ht="13.8" x14ac:dyDescent="0.3">
      <c r="A1" s="162" t="s">
        <v>647</v>
      </c>
      <c r="B1" s="162"/>
    </row>
    <row r="2" spans="1:21" ht="13.8" x14ac:dyDescent="0.3">
      <c r="A2" s="164"/>
      <c r="B2" s="164"/>
      <c r="C2" s="164"/>
      <c r="D2" s="164"/>
      <c r="E2" s="164"/>
      <c r="F2" s="164"/>
      <c r="G2" s="164"/>
      <c r="H2" s="164"/>
      <c r="I2" s="164"/>
      <c r="J2" s="164"/>
      <c r="K2" s="164"/>
      <c r="L2" s="164"/>
      <c r="M2" s="164"/>
      <c r="N2" s="164"/>
      <c r="O2" s="164"/>
      <c r="P2" s="164"/>
    </row>
    <row r="3" spans="1:21" ht="13.8" x14ac:dyDescent="0.3">
      <c r="C3" s="165"/>
      <c r="D3" s="165"/>
      <c r="E3" s="165"/>
      <c r="F3" s="165"/>
      <c r="G3" s="165"/>
      <c r="H3" s="165"/>
      <c r="I3" s="165"/>
      <c r="J3" s="165"/>
      <c r="K3" s="165"/>
      <c r="L3" s="165"/>
      <c r="M3" s="165"/>
      <c r="N3" s="165"/>
      <c r="O3" s="165"/>
      <c r="P3" s="164"/>
    </row>
    <row r="4" spans="1:21" ht="13.8" x14ac:dyDescent="0.3">
      <c r="A4" s="164" t="s">
        <v>572</v>
      </c>
      <c r="B4" s="164" t="s">
        <v>3</v>
      </c>
      <c r="C4" s="165" t="s">
        <v>648</v>
      </c>
      <c r="D4" s="165" t="s">
        <v>649</v>
      </c>
      <c r="E4" s="165" t="s">
        <v>650</v>
      </c>
      <c r="F4" s="165" t="s">
        <v>651</v>
      </c>
      <c r="G4" s="165" t="s">
        <v>652</v>
      </c>
      <c r="H4" s="165" t="s">
        <v>653</v>
      </c>
      <c r="I4" s="165" t="s">
        <v>654</v>
      </c>
      <c r="J4" s="165" t="s">
        <v>655</v>
      </c>
      <c r="K4" s="165" t="s">
        <v>656</v>
      </c>
      <c r="L4" s="165" t="s">
        <v>657</v>
      </c>
      <c r="M4" s="165" t="s">
        <v>658</v>
      </c>
      <c r="N4" s="165" t="s">
        <v>659</v>
      </c>
      <c r="O4" s="165" t="s">
        <v>447</v>
      </c>
      <c r="P4" s="164" t="s">
        <v>660</v>
      </c>
      <c r="Q4" s="163" t="s">
        <v>661</v>
      </c>
    </row>
    <row r="5" spans="1:21" ht="13.8" x14ac:dyDescent="0.3">
      <c r="A5" s="164"/>
      <c r="B5" s="164"/>
      <c r="C5" s="165"/>
      <c r="D5" s="165"/>
      <c r="E5" s="165"/>
      <c r="F5" s="165"/>
      <c r="G5" s="165"/>
      <c r="H5" s="165"/>
      <c r="I5" s="165"/>
      <c r="J5" s="165"/>
      <c r="K5" s="165"/>
      <c r="L5" s="165"/>
      <c r="M5" s="165"/>
      <c r="N5" s="165"/>
      <c r="O5" s="165"/>
      <c r="P5" s="164"/>
    </row>
    <row r="6" spans="1:21" ht="13.8" x14ac:dyDescent="0.3">
      <c r="A6" s="164" t="s">
        <v>662</v>
      </c>
      <c r="B6" s="164" t="s">
        <v>663</v>
      </c>
      <c r="C6" s="165">
        <v>931.5</v>
      </c>
      <c r="D6" s="165">
        <f>850.5+375</f>
        <v>1225.5</v>
      </c>
      <c r="E6" s="165">
        <v>877.5</v>
      </c>
      <c r="F6" s="165">
        <f>877.5+565</f>
        <v>1442.5</v>
      </c>
      <c r="G6" s="165">
        <v>850.5</v>
      </c>
      <c r="H6" s="165">
        <v>958.5</v>
      </c>
      <c r="I6" s="165">
        <v>918</v>
      </c>
      <c r="J6" s="165">
        <f>1053+540</f>
        <v>1593</v>
      </c>
      <c r="K6" s="165">
        <v>918</v>
      </c>
      <c r="L6" s="165">
        <f>1107+999</f>
        <v>2106</v>
      </c>
      <c r="M6" s="165">
        <v>1134</v>
      </c>
      <c r="N6" s="165">
        <f>1080+789+180</f>
        <v>2049</v>
      </c>
      <c r="O6" s="165">
        <f>SUM(C6:N6)</f>
        <v>15004</v>
      </c>
      <c r="P6" s="164">
        <v>3.92</v>
      </c>
    </row>
    <row r="7" spans="1:21" ht="13.8" x14ac:dyDescent="0.3">
      <c r="A7" s="164" t="s">
        <v>664</v>
      </c>
      <c r="B7" s="164" t="s">
        <v>665</v>
      </c>
      <c r="C7" s="165">
        <v>1050</v>
      </c>
      <c r="D7" s="165">
        <v>1050</v>
      </c>
      <c r="E7" s="165">
        <v>1050</v>
      </c>
      <c r="F7" s="165">
        <v>1050</v>
      </c>
      <c r="G7" s="165">
        <v>1050</v>
      </c>
      <c r="H7" s="165">
        <v>1050</v>
      </c>
      <c r="I7" s="165">
        <v>1050</v>
      </c>
      <c r="J7" s="165">
        <v>1050</v>
      </c>
      <c r="K7" s="165">
        <v>1050</v>
      </c>
      <c r="L7" s="165">
        <v>1050</v>
      </c>
      <c r="M7" s="165">
        <v>1050</v>
      </c>
      <c r="N7" s="165">
        <v>1050</v>
      </c>
      <c r="O7" s="165">
        <f>SUM(C7:N7)</f>
        <v>12600</v>
      </c>
      <c r="P7" s="164"/>
    </row>
    <row r="8" spans="1:21" ht="13.8" x14ac:dyDescent="0.3">
      <c r="A8" s="164" t="s">
        <v>666</v>
      </c>
      <c r="B8" s="164" t="s">
        <v>667</v>
      </c>
      <c r="C8" s="165"/>
      <c r="D8" s="165"/>
      <c r="E8" s="165"/>
      <c r="F8" s="165"/>
      <c r="G8" s="165"/>
      <c r="H8" s="165">
        <f>2433.55+2981.8+2896.8</f>
        <v>8312.1500000000015</v>
      </c>
      <c r="I8" s="165">
        <f>2195.55+3740.43+3804.18</f>
        <v>9740.16</v>
      </c>
      <c r="J8" s="165">
        <f>1402.5</f>
        <v>1402.5</v>
      </c>
      <c r="K8" s="165">
        <f>2939.3+1402.5+3996.7+4766.8</f>
        <v>13105.3</v>
      </c>
      <c r="L8" s="165">
        <f>3612.92+3408.93</f>
        <v>7021.85</v>
      </c>
      <c r="M8" s="165">
        <f>5844.18+3210.45+3811.82+3772.3+5450.21+3969.92</f>
        <v>26058.879999999997</v>
      </c>
      <c r="N8" s="165">
        <f>3912.55+5062.18</f>
        <v>8974.73</v>
      </c>
      <c r="O8" s="165">
        <f t="shared" ref="O8:O16" si="0">SUM(C8:N8)</f>
        <v>74615.569999999992</v>
      </c>
      <c r="P8" s="164">
        <v>1.1599999999999999</v>
      </c>
      <c r="Q8" s="163">
        <v>831.52</v>
      </c>
    </row>
    <row r="9" spans="1:21" ht="13.8" x14ac:dyDescent="0.3">
      <c r="A9" s="164" t="s">
        <v>668</v>
      </c>
      <c r="B9" s="164" t="s">
        <v>669</v>
      </c>
      <c r="C9" s="165"/>
      <c r="D9" s="165">
        <f>3840+2340+5520+3840+4680+4080+4320+4260+960+1020+4800+6000+5400</f>
        <v>51060</v>
      </c>
      <c r="E9" s="165">
        <f>4800+3840+4800+4800+4980+3575+4740+4560+3360+5400</f>
        <v>44855</v>
      </c>
      <c r="F9" s="165">
        <f>5040+240+5040+4800+960+4800+4800+5160+4140</f>
        <v>34980</v>
      </c>
      <c r="G9" s="165">
        <f>4920+4800+4740+4800+4920+4800+4980+4800+1800+960</f>
        <v>41520</v>
      </c>
      <c r="H9" s="165">
        <f>4920+4800+4740+4800+4920+4800+4980+4800+1800+960+3660+4800+6780+4560+6000+4800+2880+4800-41520</f>
        <v>38280</v>
      </c>
      <c r="I9" s="165">
        <f>960+3840+4800+3840+4800+1440+5520+6240+5880+6060</f>
        <v>43380</v>
      </c>
      <c r="J9" s="165">
        <f>4800+4800+4800+4800+2880+6060+5500+5520+4980</f>
        <v>44140</v>
      </c>
      <c r="K9" s="165">
        <f>17280</f>
        <v>17280</v>
      </c>
      <c r="L9" s="165">
        <f>-17280+11990+4400+4180+4950+1920+3630+4400</f>
        <v>18190</v>
      </c>
      <c r="M9" s="165">
        <f>4400+4070+3520+4400+880</f>
        <v>17270</v>
      </c>
      <c r="N9" s="166">
        <f>-11990+15400+3520+4400+4070+4290+2640</f>
        <v>22330</v>
      </c>
      <c r="O9" s="165">
        <f t="shared" si="0"/>
        <v>373285</v>
      </c>
      <c r="P9" s="164">
        <v>3.43</v>
      </c>
      <c r="Q9" s="163">
        <v>3173</v>
      </c>
      <c r="R9" s="163" t="s">
        <v>732</v>
      </c>
    </row>
    <row r="10" spans="1:21" ht="13.8" x14ac:dyDescent="0.3">
      <c r="A10" s="164" t="s">
        <v>670</v>
      </c>
      <c r="B10" s="164" t="s">
        <v>671</v>
      </c>
      <c r="C10" s="165"/>
      <c r="D10" s="165"/>
      <c r="E10" s="165"/>
      <c r="F10" s="165"/>
      <c r="G10" s="165"/>
      <c r="H10" s="165">
        <v>3088.75</v>
      </c>
      <c r="I10" s="165"/>
      <c r="J10" s="165"/>
      <c r="K10" s="165"/>
      <c r="L10" s="165"/>
      <c r="M10" s="165"/>
      <c r="N10" s="165"/>
      <c r="O10" s="165">
        <f t="shared" si="0"/>
        <v>3088.75</v>
      </c>
      <c r="P10" s="164"/>
    </row>
    <row r="11" spans="1:21" ht="13.8" x14ac:dyDescent="0.3">
      <c r="A11" s="164" t="s">
        <v>672</v>
      </c>
      <c r="B11" s="164" t="s">
        <v>673</v>
      </c>
      <c r="C11" s="165"/>
      <c r="D11" s="165"/>
      <c r="E11" s="165"/>
      <c r="F11" s="165"/>
      <c r="G11" s="165"/>
      <c r="H11" s="165">
        <v>7950.51</v>
      </c>
      <c r="I11" s="165">
        <f>-7950.51+7950.51</f>
        <v>0</v>
      </c>
      <c r="J11" s="165">
        <v>6619.83</v>
      </c>
      <c r="K11" s="165"/>
      <c r="L11" s="165">
        <v>4183.97</v>
      </c>
      <c r="M11" s="165"/>
      <c r="N11" s="165"/>
      <c r="O11" s="165">
        <f t="shared" si="0"/>
        <v>18754.310000000001</v>
      </c>
      <c r="P11" s="164"/>
    </row>
    <row r="12" spans="1:21" ht="13.8" x14ac:dyDescent="0.3">
      <c r="A12" s="164" t="s">
        <v>674</v>
      </c>
      <c r="B12" s="164" t="s">
        <v>675</v>
      </c>
      <c r="C12" s="165"/>
      <c r="D12" s="165"/>
      <c r="E12" s="165"/>
      <c r="F12" s="165"/>
      <c r="G12" s="165"/>
      <c r="H12" s="165"/>
      <c r="I12" s="165">
        <f>110+917.4</f>
        <v>1027.4000000000001</v>
      </c>
      <c r="J12" s="165">
        <f>-110-917.4+917.4+110</f>
        <v>-1.1368683772161603E-13</v>
      </c>
      <c r="K12" s="165"/>
      <c r="L12" s="165"/>
      <c r="M12" s="165"/>
      <c r="N12" s="165"/>
      <c r="O12" s="165">
        <f t="shared" si="0"/>
        <v>1027.4000000000001</v>
      </c>
      <c r="P12" s="164"/>
    </row>
    <row r="13" spans="1:21" ht="13.8" x14ac:dyDescent="0.3">
      <c r="A13" s="164" t="s">
        <v>676</v>
      </c>
      <c r="B13" s="164" t="s">
        <v>677</v>
      </c>
      <c r="C13" s="165"/>
      <c r="D13" s="165"/>
      <c r="E13" s="165"/>
      <c r="F13" s="165"/>
      <c r="G13" s="165"/>
      <c r="H13" s="165"/>
      <c r="I13" s="165">
        <f>1750+2117.5+3010+3062.5</f>
        <v>9940</v>
      </c>
      <c r="J13" s="165">
        <f>7580+9676.25+10748.75+8701.25+24457.5+3062.5+5541.25</f>
        <v>69767.5</v>
      </c>
      <c r="K13" s="165">
        <f>16667.5+14640+18810</f>
        <v>50117.5</v>
      </c>
      <c r="L13" s="165">
        <f>13963.75+14506.25+11985+10982.5</f>
        <v>51437.5</v>
      </c>
      <c r="M13" s="165">
        <f>10982.5+14326.25+13910+15896.25-10982.5+14022.5</f>
        <v>58155</v>
      </c>
      <c r="N13" s="165">
        <f>11080+13761.25+12103.75+11411.25+1785+1785</f>
        <v>51926.25</v>
      </c>
      <c r="O13" s="165">
        <f t="shared" si="0"/>
        <v>291343.75</v>
      </c>
      <c r="P13" s="164"/>
      <c r="Q13" s="167">
        <v>2537</v>
      </c>
      <c r="S13" s="167">
        <v>233208.75</v>
      </c>
      <c r="T13" s="163" t="s">
        <v>678</v>
      </c>
      <c r="U13" s="167">
        <v>1726.5</v>
      </c>
    </row>
    <row r="14" spans="1:21" ht="13.8" x14ac:dyDescent="0.3">
      <c r="A14" s="164" t="s">
        <v>679</v>
      </c>
      <c r="B14" s="164" t="s">
        <v>680</v>
      </c>
      <c r="C14" s="165"/>
      <c r="D14" s="165"/>
      <c r="E14" s="165"/>
      <c r="F14" s="165"/>
      <c r="G14" s="165"/>
      <c r="H14" s="165"/>
      <c r="I14" s="165"/>
      <c r="J14" s="165"/>
      <c r="K14" s="165">
        <v>2040</v>
      </c>
      <c r="L14" s="165">
        <f>2040-2040</f>
        <v>0</v>
      </c>
      <c r="M14" s="165">
        <f>1700+2380</f>
        <v>4080</v>
      </c>
      <c r="N14" s="165"/>
      <c r="O14" s="165">
        <f t="shared" si="0"/>
        <v>6120</v>
      </c>
      <c r="P14" s="164">
        <v>3.51</v>
      </c>
      <c r="S14" s="167">
        <v>58135</v>
      </c>
      <c r="T14" s="163" t="s">
        <v>681</v>
      </c>
      <c r="U14" s="167">
        <v>810.5</v>
      </c>
    </row>
    <row r="15" spans="1:21" ht="13.8" x14ac:dyDescent="0.3">
      <c r="A15" s="164" t="s">
        <v>682</v>
      </c>
      <c r="B15" s="164" t="s">
        <v>683</v>
      </c>
      <c r="C15" s="165"/>
      <c r="D15" s="165"/>
      <c r="E15" s="165"/>
      <c r="F15" s="165"/>
      <c r="G15" s="165"/>
      <c r="H15" s="165"/>
      <c r="I15" s="165"/>
      <c r="J15" s="165"/>
      <c r="K15" s="165"/>
      <c r="L15" s="165"/>
      <c r="M15" s="165"/>
      <c r="N15" s="165">
        <v>1241.25</v>
      </c>
      <c r="O15" s="165">
        <f t="shared" si="0"/>
        <v>1241.25</v>
      </c>
      <c r="P15" s="164"/>
    </row>
    <row r="16" spans="1:21" ht="13.8" x14ac:dyDescent="0.3">
      <c r="A16" s="164" t="s">
        <v>584</v>
      </c>
      <c r="B16" s="164" t="s">
        <v>684</v>
      </c>
      <c r="C16" s="165">
        <v>405</v>
      </c>
      <c r="D16" s="165">
        <f>432+418.5+405+432+1282.5+648+432+425.25+405+418.5+621</f>
        <v>5919.75</v>
      </c>
      <c r="E16" s="165">
        <f>864+864+432+661.5+499.5+648</f>
        <v>3969</v>
      </c>
      <c r="F16" s="165">
        <f>810+864+864</f>
        <v>2538</v>
      </c>
      <c r="G16" s="165">
        <f>864+526.5</f>
        <v>1390.5</v>
      </c>
      <c r="H16" s="165"/>
      <c r="I16" s="165">
        <f>513+553.5</f>
        <v>1066.5</v>
      </c>
      <c r="J16" s="165">
        <f>405</f>
        <v>405</v>
      </c>
      <c r="K16" s="165">
        <v>513</v>
      </c>
      <c r="L16" s="165"/>
      <c r="M16" s="165"/>
      <c r="N16" s="165"/>
      <c r="O16" s="165">
        <f t="shared" si="0"/>
        <v>16206.75</v>
      </c>
      <c r="P16" s="164"/>
    </row>
    <row r="17" spans="1:18" ht="13.8" x14ac:dyDescent="0.3">
      <c r="A17" s="164"/>
      <c r="B17" s="164"/>
      <c r="C17" s="165"/>
      <c r="D17" s="165"/>
      <c r="E17" s="165"/>
      <c r="F17" s="165"/>
      <c r="G17" s="165"/>
      <c r="H17" s="165"/>
      <c r="I17" s="165"/>
      <c r="J17" s="165"/>
      <c r="K17" s="165"/>
      <c r="L17" s="165"/>
      <c r="M17" s="165"/>
      <c r="N17" s="165"/>
      <c r="O17" s="165"/>
      <c r="P17" s="164"/>
    </row>
    <row r="18" spans="1:18" ht="13.8" x14ac:dyDescent="0.3">
      <c r="A18" s="168" t="s">
        <v>447</v>
      </c>
      <c r="B18" s="168"/>
      <c r="C18" s="169">
        <f t="shared" ref="C18:O18" si="1">SUM(C1:C17)</f>
        <v>2386.5</v>
      </c>
      <c r="D18" s="169">
        <f t="shared" si="1"/>
        <v>59255.25</v>
      </c>
      <c r="E18" s="169">
        <f t="shared" si="1"/>
        <v>50751.5</v>
      </c>
      <c r="F18" s="169">
        <f t="shared" si="1"/>
        <v>40010.5</v>
      </c>
      <c r="G18" s="169">
        <f t="shared" si="1"/>
        <v>44811</v>
      </c>
      <c r="H18" s="169">
        <f t="shared" si="1"/>
        <v>59639.91</v>
      </c>
      <c r="I18" s="169">
        <f t="shared" si="1"/>
        <v>67122.06</v>
      </c>
      <c r="J18" s="169">
        <f t="shared" si="1"/>
        <v>124977.83</v>
      </c>
      <c r="K18" s="169">
        <f t="shared" si="1"/>
        <v>85023.8</v>
      </c>
      <c r="L18" s="169">
        <f t="shared" si="1"/>
        <v>83989.32</v>
      </c>
      <c r="M18" s="169">
        <f t="shared" si="1"/>
        <v>107747.88</v>
      </c>
      <c r="N18" s="169">
        <f t="shared" si="1"/>
        <v>87571.23</v>
      </c>
      <c r="O18" s="170">
        <f t="shared" si="1"/>
        <v>813286.78</v>
      </c>
      <c r="P18" s="164"/>
    </row>
    <row r="19" spans="1:18" ht="13.8" x14ac:dyDescent="0.3">
      <c r="A19" s="164"/>
      <c r="B19" s="164"/>
      <c r="C19" s="165"/>
      <c r="D19" s="165"/>
      <c r="E19" s="165"/>
      <c r="F19" s="165"/>
      <c r="G19" s="165"/>
      <c r="H19" s="165"/>
      <c r="I19" s="165"/>
      <c r="J19" s="165"/>
      <c r="K19" s="165"/>
      <c r="L19" s="165"/>
      <c r="M19" s="165"/>
      <c r="N19" s="165"/>
      <c r="O19" s="165"/>
      <c r="P19" s="164"/>
    </row>
    <row r="20" spans="1:18" x14ac:dyDescent="0.25">
      <c r="C20" s="171"/>
      <c r="D20" s="171"/>
      <c r="E20" s="171"/>
      <c r="F20" s="171"/>
      <c r="G20" s="171"/>
      <c r="H20" s="171"/>
      <c r="I20" s="171"/>
      <c r="J20" s="171"/>
      <c r="O20" s="167">
        <f>-O6</f>
        <v>-15004</v>
      </c>
      <c r="P20" s="163" t="s">
        <v>685</v>
      </c>
    </row>
    <row r="21" spans="1:18" x14ac:dyDescent="0.25">
      <c r="A21" s="176" t="s">
        <v>730</v>
      </c>
      <c r="B21" s="177"/>
      <c r="C21" s="177"/>
      <c r="D21" s="177"/>
      <c r="E21" s="177"/>
      <c r="O21" s="167">
        <f>-O8-S14</f>
        <v>-132750.57</v>
      </c>
      <c r="P21" s="163" t="s">
        <v>686</v>
      </c>
    </row>
    <row r="22" spans="1:18" x14ac:dyDescent="0.25">
      <c r="A22" s="177"/>
      <c r="B22" s="177"/>
      <c r="C22" s="177"/>
      <c r="D22" s="177"/>
      <c r="E22" s="177"/>
      <c r="O22" s="167">
        <f>-S13</f>
        <v>-233208.75</v>
      </c>
      <c r="P22" s="163" t="s">
        <v>687</v>
      </c>
    </row>
    <row r="23" spans="1:18" x14ac:dyDescent="0.25">
      <c r="A23" s="177"/>
      <c r="B23" s="177"/>
      <c r="C23" s="177"/>
      <c r="D23" s="177"/>
      <c r="E23" s="177"/>
      <c r="O23" s="167">
        <f>-O14</f>
        <v>-6120</v>
      </c>
      <c r="P23" s="163" t="s">
        <v>688</v>
      </c>
    </row>
    <row r="24" spans="1:18" x14ac:dyDescent="0.25">
      <c r="O24" s="167">
        <f>-O9</f>
        <v>-373285</v>
      </c>
      <c r="P24" s="163" t="s">
        <v>689</v>
      </c>
      <c r="Q24" s="167">
        <f>+SUM(O20:O24)</f>
        <v>-760368.32000000007</v>
      </c>
      <c r="R24" s="163" t="s">
        <v>729</v>
      </c>
    </row>
    <row r="25" spans="1:18" ht="12.6" thickBot="1" x14ac:dyDescent="0.3">
      <c r="H25" s="171"/>
      <c r="O25" s="172">
        <f>SUM(O18:O24)</f>
        <v>52918.459999999963</v>
      </c>
    </row>
    <row r="26" spans="1:18" ht="12.6" hidden="1" thickTop="1" x14ac:dyDescent="0.25">
      <c r="A26" s="163" t="s">
        <v>690</v>
      </c>
    </row>
    <row r="27" spans="1:18" ht="13.8" hidden="1" x14ac:dyDescent="0.3">
      <c r="B27" s="164" t="s">
        <v>3</v>
      </c>
      <c r="C27" s="165" t="s">
        <v>648</v>
      </c>
      <c r="D27" s="165" t="s">
        <v>649</v>
      </c>
      <c r="E27" s="165" t="s">
        <v>650</v>
      </c>
      <c r="F27" s="165" t="s">
        <v>651</v>
      </c>
      <c r="G27" s="165" t="s">
        <v>652</v>
      </c>
      <c r="H27" s="165" t="s">
        <v>653</v>
      </c>
      <c r="I27" s="165" t="s">
        <v>654</v>
      </c>
      <c r="J27" s="165" t="s">
        <v>655</v>
      </c>
      <c r="K27" s="165" t="s">
        <v>656</v>
      </c>
      <c r="L27" s="165" t="s">
        <v>657</v>
      </c>
      <c r="M27" s="165" t="s">
        <v>658</v>
      </c>
      <c r="N27" s="165" t="s">
        <v>659</v>
      </c>
      <c r="O27" s="165" t="s">
        <v>447</v>
      </c>
    </row>
    <row r="28" spans="1:18" hidden="1" x14ac:dyDescent="0.25"/>
    <row r="29" spans="1:18" hidden="1" x14ac:dyDescent="0.25">
      <c r="A29" s="163" t="s">
        <v>691</v>
      </c>
      <c r="C29" s="163">
        <f>1696+1696</f>
        <v>3392</v>
      </c>
      <c r="D29" s="163">
        <v>2544</v>
      </c>
      <c r="E29" s="163">
        <f>424+2332+1696</f>
        <v>4452</v>
      </c>
      <c r="F29" s="163">
        <f>1696+1696-424</f>
        <v>2968</v>
      </c>
      <c r="G29" s="163">
        <f>1696+1696+1696</f>
        <v>5088</v>
      </c>
      <c r="H29" s="163">
        <v>0</v>
      </c>
      <c r="I29" s="163">
        <f>2544+3259.5</f>
        <v>5803.5</v>
      </c>
      <c r="J29" s="163">
        <f>1696+1696</f>
        <v>3392</v>
      </c>
      <c r="K29" s="163">
        <f>3074+1272</f>
        <v>4346</v>
      </c>
      <c r="L29" s="163">
        <f>3857</f>
        <v>3857</v>
      </c>
      <c r="M29" s="163">
        <f>1856+1856</f>
        <v>3712</v>
      </c>
      <c r="N29" s="163">
        <f>1856+2088+2088-2088</f>
        <v>3944</v>
      </c>
      <c r="O29" s="163">
        <f>SUM(C29:N29)</f>
        <v>43498.5</v>
      </c>
    </row>
    <row r="30" spans="1:18" hidden="1" x14ac:dyDescent="0.25"/>
    <row r="31" spans="1:18" hidden="1" x14ac:dyDescent="0.25"/>
    <row r="32" spans="1:18" hidden="1" x14ac:dyDescent="0.25"/>
    <row r="33" spans="1:16" ht="13.8" hidden="1" x14ac:dyDescent="0.3">
      <c r="A33" s="168" t="s">
        <v>447</v>
      </c>
      <c r="B33" s="168"/>
      <c r="C33" s="169">
        <f>SUM(C29:C32)</f>
        <v>3392</v>
      </c>
      <c r="D33" s="169">
        <f t="shared" ref="D33:O33" si="2">SUM(D29:D32)</f>
        <v>2544</v>
      </c>
      <c r="E33" s="169">
        <f t="shared" si="2"/>
        <v>4452</v>
      </c>
      <c r="F33" s="169">
        <f t="shared" si="2"/>
        <v>2968</v>
      </c>
      <c r="G33" s="169">
        <f t="shared" si="2"/>
        <v>5088</v>
      </c>
      <c r="H33" s="169">
        <f t="shared" si="2"/>
        <v>0</v>
      </c>
      <c r="I33" s="169">
        <f t="shared" si="2"/>
        <v>5803.5</v>
      </c>
      <c r="J33" s="169">
        <f t="shared" si="2"/>
        <v>3392</v>
      </c>
      <c r="K33" s="169">
        <f>SUM(K29:K32)</f>
        <v>4346</v>
      </c>
      <c r="L33" s="169">
        <f t="shared" si="2"/>
        <v>3857</v>
      </c>
      <c r="M33" s="169">
        <f t="shared" si="2"/>
        <v>3712</v>
      </c>
      <c r="N33" s="169">
        <f t="shared" si="2"/>
        <v>3944</v>
      </c>
      <c r="O33" s="169">
        <f t="shared" si="2"/>
        <v>43498.5</v>
      </c>
    </row>
    <row r="34" spans="1:16" hidden="1" x14ac:dyDescent="0.25"/>
    <row r="35" spans="1:16" hidden="1" x14ac:dyDescent="0.25"/>
    <row r="36" spans="1:16" hidden="1" x14ac:dyDescent="0.25"/>
    <row r="37" spans="1:16" hidden="1" x14ac:dyDescent="0.25">
      <c r="A37" s="163" t="s">
        <v>692</v>
      </c>
    </row>
    <row r="38" spans="1:16" hidden="1" x14ac:dyDescent="0.25"/>
    <row r="39" spans="1:16" ht="13.8" hidden="1" x14ac:dyDescent="0.3">
      <c r="B39" s="164" t="s">
        <v>3</v>
      </c>
      <c r="C39" s="165" t="s">
        <v>648</v>
      </c>
      <c r="D39" s="165" t="s">
        <v>649</v>
      </c>
      <c r="E39" s="165" t="s">
        <v>650</v>
      </c>
      <c r="F39" s="165" t="s">
        <v>651</v>
      </c>
      <c r="G39" s="165" t="s">
        <v>652</v>
      </c>
      <c r="H39" s="165" t="s">
        <v>653</v>
      </c>
      <c r="I39" s="165" t="s">
        <v>654</v>
      </c>
      <c r="J39" s="165" t="s">
        <v>655</v>
      </c>
      <c r="K39" s="165" t="s">
        <v>656</v>
      </c>
      <c r="L39" s="165" t="s">
        <v>657</v>
      </c>
      <c r="M39" s="165" t="s">
        <v>658</v>
      </c>
      <c r="N39" s="165" t="s">
        <v>659</v>
      </c>
      <c r="O39" s="165" t="s">
        <v>447</v>
      </c>
    </row>
    <row r="40" spans="1:16" ht="13.8" hidden="1" x14ac:dyDescent="0.3">
      <c r="B40" s="164"/>
      <c r="C40" s="165"/>
      <c r="D40" s="165"/>
      <c r="E40" s="165"/>
      <c r="F40" s="165"/>
      <c r="G40" s="165"/>
      <c r="H40" s="165"/>
      <c r="I40" s="165"/>
      <c r="J40" s="165"/>
      <c r="K40" s="165"/>
      <c r="L40" s="165"/>
      <c r="M40" s="165"/>
      <c r="N40" s="165"/>
      <c r="O40" s="165"/>
    </row>
    <row r="41" spans="1:16" ht="13.8" hidden="1" x14ac:dyDescent="0.3">
      <c r="A41" s="163" t="s">
        <v>693</v>
      </c>
      <c r="C41" s="163">
        <v>4000</v>
      </c>
      <c r="D41" s="163">
        <v>4000</v>
      </c>
      <c r="E41" s="163">
        <v>4000</v>
      </c>
      <c r="F41" s="163">
        <v>4000</v>
      </c>
      <c r="G41" s="163">
        <v>4000</v>
      </c>
      <c r="H41" s="163">
        <v>4000</v>
      </c>
      <c r="I41" s="163">
        <v>4000</v>
      </c>
      <c r="J41" s="163">
        <v>4000</v>
      </c>
      <c r="K41" s="163">
        <v>4000</v>
      </c>
      <c r="L41" s="163">
        <v>4000</v>
      </c>
      <c r="M41" s="163">
        <v>4000</v>
      </c>
      <c r="N41" s="163">
        <v>4000</v>
      </c>
      <c r="O41" s="165">
        <f>SUM(C41:N41)</f>
        <v>48000</v>
      </c>
      <c r="P41" s="163">
        <f>12000+36000</f>
        <v>48000</v>
      </c>
    </row>
    <row r="42" spans="1:16" hidden="1" x14ac:dyDescent="0.25">
      <c r="G42" s="173"/>
    </row>
    <row r="43" spans="1:16" hidden="1" x14ac:dyDescent="0.25"/>
    <row r="44" spans="1:16" ht="13.8" hidden="1" x14ac:dyDescent="0.3">
      <c r="A44" s="168" t="s">
        <v>447</v>
      </c>
      <c r="B44" s="168"/>
      <c r="C44" s="169">
        <f t="shared" ref="C44:O44" si="3">SUM(C40:C43)</f>
        <v>4000</v>
      </c>
      <c r="D44" s="169">
        <f t="shared" si="3"/>
        <v>4000</v>
      </c>
      <c r="E44" s="169">
        <f t="shared" si="3"/>
        <v>4000</v>
      </c>
      <c r="F44" s="169">
        <f t="shared" si="3"/>
        <v>4000</v>
      </c>
      <c r="G44" s="169">
        <f t="shared" si="3"/>
        <v>4000</v>
      </c>
      <c r="H44" s="169">
        <f t="shared" si="3"/>
        <v>4000</v>
      </c>
      <c r="I44" s="169">
        <f t="shared" si="3"/>
        <v>4000</v>
      </c>
      <c r="J44" s="169">
        <f t="shared" si="3"/>
        <v>4000</v>
      </c>
      <c r="K44" s="169">
        <f t="shared" si="3"/>
        <v>4000</v>
      </c>
      <c r="L44" s="169">
        <f t="shared" si="3"/>
        <v>4000</v>
      </c>
      <c r="M44" s="169">
        <f t="shared" si="3"/>
        <v>4000</v>
      </c>
      <c r="N44" s="169">
        <f t="shared" si="3"/>
        <v>4000</v>
      </c>
      <c r="O44" s="169">
        <f t="shared" si="3"/>
        <v>48000</v>
      </c>
    </row>
    <row r="45" spans="1:16" hidden="1" x14ac:dyDescent="0.25"/>
    <row r="46" spans="1:16" hidden="1" x14ac:dyDescent="0.25"/>
    <row r="47" spans="1:16" hidden="1" x14ac:dyDescent="0.25">
      <c r="H47" s="171"/>
    </row>
    <row r="48" spans="1:16" hidden="1" x14ac:dyDescent="0.25">
      <c r="A48" s="163" t="s">
        <v>694</v>
      </c>
    </row>
    <row r="49" spans="1:16" hidden="1" x14ac:dyDescent="0.25"/>
    <row r="50" spans="1:16" ht="13.8" hidden="1" x14ac:dyDescent="0.3">
      <c r="B50" s="164" t="s">
        <v>3</v>
      </c>
      <c r="C50" s="165" t="s">
        <v>648</v>
      </c>
      <c r="D50" s="165" t="s">
        <v>649</v>
      </c>
      <c r="E50" s="165" t="s">
        <v>650</v>
      </c>
      <c r="F50" s="165" t="s">
        <v>651</v>
      </c>
      <c r="G50" s="165" t="s">
        <v>652</v>
      </c>
      <c r="H50" s="165" t="s">
        <v>653</v>
      </c>
      <c r="I50" s="165" t="s">
        <v>654</v>
      </c>
      <c r="J50" s="165" t="s">
        <v>655</v>
      </c>
      <c r="K50" s="165" t="s">
        <v>656</v>
      </c>
      <c r="L50" s="165" t="s">
        <v>657</v>
      </c>
      <c r="M50" s="165" t="s">
        <v>658</v>
      </c>
      <c r="N50" s="165" t="s">
        <v>659</v>
      </c>
      <c r="O50" s="165" t="s">
        <v>447</v>
      </c>
    </row>
    <row r="51" spans="1:16" hidden="1" x14ac:dyDescent="0.25"/>
    <row r="52" spans="1:16" ht="13.8" hidden="1" x14ac:dyDescent="0.3">
      <c r="A52" s="163" t="s">
        <v>695</v>
      </c>
      <c r="C52" s="163">
        <v>2000</v>
      </c>
      <c r="D52" s="163">
        <v>2000</v>
      </c>
      <c r="E52" s="163">
        <v>2000</v>
      </c>
      <c r="F52" s="163">
        <v>2000</v>
      </c>
      <c r="G52" s="163">
        <v>2000</v>
      </c>
      <c r="H52" s="163">
        <v>2000</v>
      </c>
      <c r="I52" s="163">
        <v>2000</v>
      </c>
      <c r="J52" s="163">
        <v>2000</v>
      </c>
      <c r="K52" s="163">
        <v>2000</v>
      </c>
      <c r="L52" s="163">
        <v>2000</v>
      </c>
      <c r="M52" s="163">
        <v>2000</v>
      </c>
      <c r="N52" s="163">
        <v>2000</v>
      </c>
      <c r="O52" s="165">
        <f>SUM(C52:N52)</f>
        <v>24000</v>
      </c>
    </row>
    <row r="53" spans="1:16" ht="13.8" hidden="1" x14ac:dyDescent="0.3">
      <c r="A53" s="163" t="s">
        <v>696</v>
      </c>
      <c r="K53" s="163">
        <v>87.5</v>
      </c>
      <c r="O53" s="165">
        <f>SUM(C53:N53)</f>
        <v>87.5</v>
      </c>
    </row>
    <row r="54" spans="1:16" ht="13.8" hidden="1" x14ac:dyDescent="0.3">
      <c r="A54" s="163" t="s">
        <v>697</v>
      </c>
      <c r="K54" s="163">
        <v>1798.67</v>
      </c>
      <c r="O54" s="165">
        <f>SUM(C54:N54)</f>
        <v>1798.67</v>
      </c>
    </row>
    <row r="55" spans="1:16" hidden="1" x14ac:dyDescent="0.25"/>
    <row r="56" spans="1:16" ht="13.8" hidden="1" x14ac:dyDescent="0.3">
      <c r="A56" s="168" t="s">
        <v>447</v>
      </c>
      <c r="B56" s="168"/>
      <c r="C56" s="169">
        <f t="shared" ref="C56:O56" si="4">SUM(C51:C55)</f>
        <v>2000</v>
      </c>
      <c r="D56" s="169">
        <f t="shared" si="4"/>
        <v>2000</v>
      </c>
      <c r="E56" s="169">
        <f t="shared" si="4"/>
        <v>2000</v>
      </c>
      <c r="F56" s="169">
        <f t="shared" si="4"/>
        <v>2000</v>
      </c>
      <c r="G56" s="169">
        <f t="shared" si="4"/>
        <v>2000</v>
      </c>
      <c r="H56" s="169">
        <f t="shared" si="4"/>
        <v>2000</v>
      </c>
      <c r="I56" s="169">
        <f t="shared" si="4"/>
        <v>2000</v>
      </c>
      <c r="J56" s="169">
        <f t="shared" si="4"/>
        <v>2000</v>
      </c>
      <c r="K56" s="169">
        <f t="shared" si="4"/>
        <v>3886.17</v>
      </c>
      <c r="L56" s="169">
        <f t="shared" si="4"/>
        <v>2000</v>
      </c>
      <c r="M56" s="169">
        <f t="shared" si="4"/>
        <v>2000</v>
      </c>
      <c r="N56" s="169">
        <f t="shared" si="4"/>
        <v>2000</v>
      </c>
      <c r="O56" s="169">
        <f t="shared" si="4"/>
        <v>25886.17</v>
      </c>
      <c r="P56" s="163">
        <f>19886.17+6000</f>
        <v>25886.17</v>
      </c>
    </row>
    <row r="57" spans="1:16" hidden="1" x14ac:dyDescent="0.25"/>
    <row r="58" spans="1:16" hidden="1" x14ac:dyDescent="0.25"/>
    <row r="59" spans="1:16" hidden="1" x14ac:dyDescent="0.25">
      <c r="A59" s="163" t="s">
        <v>698</v>
      </c>
    </row>
    <row r="60" spans="1:16" ht="13.8" hidden="1" x14ac:dyDescent="0.3">
      <c r="B60" s="164" t="s">
        <v>3</v>
      </c>
      <c r="C60" s="165" t="s">
        <v>648</v>
      </c>
      <c r="D60" s="165" t="s">
        <v>649</v>
      </c>
      <c r="E60" s="165" t="s">
        <v>650</v>
      </c>
      <c r="F60" s="165" t="s">
        <v>651</v>
      </c>
      <c r="G60" s="165" t="s">
        <v>652</v>
      </c>
      <c r="H60" s="165" t="s">
        <v>653</v>
      </c>
      <c r="I60" s="165" t="s">
        <v>654</v>
      </c>
      <c r="J60" s="165" t="s">
        <v>655</v>
      </c>
      <c r="K60" s="165" t="s">
        <v>656</v>
      </c>
      <c r="L60" s="165" t="s">
        <v>657</v>
      </c>
      <c r="M60" s="165" t="s">
        <v>658</v>
      </c>
      <c r="N60" s="165" t="s">
        <v>659</v>
      </c>
      <c r="O60" s="165" t="s">
        <v>447</v>
      </c>
    </row>
    <row r="61" spans="1:16" hidden="1" x14ac:dyDescent="0.25"/>
    <row r="62" spans="1:16" hidden="1" x14ac:dyDescent="0.25">
      <c r="A62" s="163" t="s">
        <v>699</v>
      </c>
      <c r="B62" s="163" t="s">
        <v>700</v>
      </c>
      <c r="C62" s="171">
        <f>34546.13-3797.68</f>
        <v>30748.449999999997</v>
      </c>
      <c r="D62" s="171">
        <f>35463.65</f>
        <v>35463.65</v>
      </c>
      <c r="E62" s="171">
        <v>47145</v>
      </c>
      <c r="F62" s="171">
        <f>24816.25+1489.6+16961.4-10533.75</f>
        <v>32733.5</v>
      </c>
      <c r="G62" s="171">
        <v>31589</v>
      </c>
      <c r="H62" s="171">
        <v>31589.3</v>
      </c>
      <c r="I62" s="171">
        <v>31589.3</v>
      </c>
      <c r="J62" s="171">
        <v>31589.3</v>
      </c>
      <c r="K62" s="171">
        <f>31589+3840</f>
        <v>35429</v>
      </c>
      <c r="L62" s="171">
        <v>31589</v>
      </c>
      <c r="M62" s="171">
        <v>31589</v>
      </c>
      <c r="N62" s="171">
        <v>31589</v>
      </c>
      <c r="O62" s="171">
        <f>SUM(C62:N62)</f>
        <v>402643.5</v>
      </c>
    </row>
    <row r="63" spans="1:16" hidden="1" x14ac:dyDescent="0.25">
      <c r="C63" s="171"/>
      <c r="D63" s="171"/>
      <c r="E63" s="171"/>
      <c r="F63" s="171"/>
      <c r="G63" s="171"/>
      <c r="H63" s="171"/>
      <c r="I63" s="171"/>
      <c r="J63" s="171"/>
      <c r="K63" s="171"/>
      <c r="L63" s="171"/>
      <c r="M63" s="171"/>
      <c r="N63" s="171"/>
      <c r="O63" s="171"/>
    </row>
    <row r="64" spans="1:16" hidden="1" x14ac:dyDescent="0.25">
      <c r="C64" s="171"/>
      <c r="D64" s="171"/>
      <c r="E64" s="171"/>
      <c r="F64" s="171"/>
      <c r="G64" s="171"/>
      <c r="H64" s="171"/>
      <c r="I64" s="171"/>
      <c r="J64" s="171"/>
      <c r="K64" s="171"/>
      <c r="L64" s="171"/>
      <c r="M64" s="171"/>
      <c r="N64" s="171"/>
      <c r="O64" s="171"/>
    </row>
    <row r="65" spans="1:16" hidden="1" x14ac:dyDescent="0.25">
      <c r="C65" s="171"/>
      <c r="D65" s="171"/>
      <c r="E65" s="171"/>
      <c r="F65" s="171"/>
      <c r="G65" s="171"/>
      <c r="H65" s="171"/>
      <c r="I65" s="171"/>
      <c r="J65" s="171"/>
      <c r="K65" s="171"/>
      <c r="L65" s="171"/>
      <c r="M65" s="171"/>
      <c r="N65" s="171"/>
      <c r="O65" s="171"/>
    </row>
    <row r="66" spans="1:16" ht="13.8" hidden="1" x14ac:dyDescent="0.3">
      <c r="A66" s="168" t="s">
        <v>447</v>
      </c>
      <c r="B66" s="168"/>
      <c r="C66" s="169">
        <f t="shared" ref="C66:O66" si="5">SUM(C61:C65)</f>
        <v>30748.449999999997</v>
      </c>
      <c r="D66" s="169">
        <f t="shared" si="5"/>
        <v>35463.65</v>
      </c>
      <c r="E66" s="169">
        <f t="shared" si="5"/>
        <v>47145</v>
      </c>
      <c r="F66" s="169">
        <f t="shared" si="5"/>
        <v>32733.5</v>
      </c>
      <c r="G66" s="169">
        <f t="shared" si="5"/>
        <v>31589</v>
      </c>
      <c r="H66" s="169">
        <f t="shared" si="5"/>
        <v>31589.3</v>
      </c>
      <c r="I66" s="169">
        <f t="shared" si="5"/>
        <v>31589.3</v>
      </c>
      <c r="J66" s="169">
        <f t="shared" si="5"/>
        <v>31589.3</v>
      </c>
      <c r="K66" s="169">
        <f t="shared" si="5"/>
        <v>35429</v>
      </c>
      <c r="L66" s="169">
        <f t="shared" si="5"/>
        <v>31589</v>
      </c>
      <c r="M66" s="169">
        <f t="shared" si="5"/>
        <v>31589</v>
      </c>
      <c r="N66" s="169">
        <f t="shared" si="5"/>
        <v>31589</v>
      </c>
      <c r="O66" s="169">
        <f t="shared" si="5"/>
        <v>402643.5</v>
      </c>
      <c r="P66" s="163">
        <f>289286.4+117154.78-3797.68</f>
        <v>402643.50000000006</v>
      </c>
    </row>
    <row r="67" spans="1:16" hidden="1" x14ac:dyDescent="0.25">
      <c r="C67" s="171"/>
      <c r="D67" s="171"/>
      <c r="E67" s="171"/>
      <c r="F67" s="171"/>
      <c r="G67" s="171"/>
      <c r="H67" s="171"/>
      <c r="I67" s="171"/>
      <c r="J67" s="171"/>
      <c r="K67" s="171"/>
      <c r="L67" s="171"/>
      <c r="M67" s="171"/>
      <c r="N67" s="171"/>
      <c r="O67" s="171"/>
    </row>
    <row r="68" spans="1:16" hidden="1" x14ac:dyDescent="0.25"/>
    <row r="69" spans="1:16" hidden="1" x14ac:dyDescent="0.25">
      <c r="A69" s="163" t="s">
        <v>701</v>
      </c>
    </row>
    <row r="70" spans="1:16" hidden="1" x14ac:dyDescent="0.25"/>
    <row r="71" spans="1:16" ht="13.8" hidden="1" x14ac:dyDescent="0.3">
      <c r="B71" s="164" t="s">
        <v>3</v>
      </c>
      <c r="C71" s="165" t="s">
        <v>648</v>
      </c>
      <c r="D71" s="165" t="s">
        <v>649</v>
      </c>
      <c r="E71" s="165" t="s">
        <v>650</v>
      </c>
      <c r="F71" s="165" t="s">
        <v>651</v>
      </c>
      <c r="G71" s="165" t="s">
        <v>652</v>
      </c>
      <c r="H71" s="165" t="s">
        <v>653</v>
      </c>
      <c r="I71" s="165" t="s">
        <v>654</v>
      </c>
      <c r="J71" s="165" t="s">
        <v>655</v>
      </c>
      <c r="K71" s="165" t="s">
        <v>656</v>
      </c>
      <c r="L71" s="165" t="s">
        <v>657</v>
      </c>
      <c r="M71" s="165" t="s">
        <v>658</v>
      </c>
      <c r="N71" s="165" t="s">
        <v>659</v>
      </c>
      <c r="O71" s="165" t="s">
        <v>447</v>
      </c>
    </row>
    <row r="72" spans="1:16" hidden="1" x14ac:dyDescent="0.25"/>
    <row r="73" spans="1:16" hidden="1" x14ac:dyDescent="0.25">
      <c r="A73" s="163" t="s">
        <v>696</v>
      </c>
      <c r="B73" s="163" t="s">
        <v>702</v>
      </c>
      <c r="C73" s="163">
        <v>1541</v>
      </c>
      <c r="D73" s="163">
        <f>595+1541-4392.41</f>
        <v>-2256.41</v>
      </c>
      <c r="E73" s="163">
        <v>1541</v>
      </c>
      <c r="F73" s="163">
        <v>1585</v>
      </c>
      <c r="G73" s="163">
        <v>1585</v>
      </c>
      <c r="H73" s="163">
        <v>1585</v>
      </c>
      <c r="I73" s="163">
        <v>1585</v>
      </c>
      <c r="J73" s="163">
        <v>1585</v>
      </c>
      <c r="K73" s="163">
        <v>1585</v>
      </c>
      <c r="L73" s="163">
        <v>1585</v>
      </c>
      <c r="M73" s="163">
        <v>1585</v>
      </c>
      <c r="N73" s="163">
        <v>1585</v>
      </c>
      <c r="O73" s="163">
        <f>SUM(C73:N73)</f>
        <v>15090.59</v>
      </c>
    </row>
    <row r="74" spans="1:16" hidden="1" x14ac:dyDescent="0.25"/>
    <row r="75" spans="1:16" ht="13.8" hidden="1" x14ac:dyDescent="0.3">
      <c r="A75" s="168" t="s">
        <v>447</v>
      </c>
      <c r="B75" s="168"/>
      <c r="C75" s="169">
        <f t="shared" ref="C75:O75" si="6">SUM(C70:C74)</f>
        <v>1541</v>
      </c>
      <c r="D75" s="169">
        <f t="shared" si="6"/>
        <v>-2256.41</v>
      </c>
      <c r="E75" s="169">
        <f t="shared" si="6"/>
        <v>1541</v>
      </c>
      <c r="F75" s="169">
        <f t="shared" si="6"/>
        <v>1585</v>
      </c>
      <c r="G75" s="169">
        <f t="shared" si="6"/>
        <v>1585</v>
      </c>
      <c r="H75" s="169">
        <f t="shared" si="6"/>
        <v>1585</v>
      </c>
      <c r="I75" s="169">
        <f t="shared" si="6"/>
        <v>1585</v>
      </c>
      <c r="J75" s="169">
        <f t="shared" si="6"/>
        <v>1585</v>
      </c>
      <c r="K75" s="169">
        <f t="shared" si="6"/>
        <v>1585</v>
      </c>
      <c r="L75" s="169">
        <f t="shared" si="6"/>
        <v>1585</v>
      </c>
      <c r="M75" s="169">
        <f t="shared" si="6"/>
        <v>1585</v>
      </c>
      <c r="N75" s="169">
        <f t="shared" si="6"/>
        <v>1585</v>
      </c>
      <c r="O75" s="169">
        <f t="shared" si="6"/>
        <v>15090.59</v>
      </c>
      <c r="P75" s="163">
        <f>5218-4392.41+14265</f>
        <v>15090.59</v>
      </c>
    </row>
    <row r="76" spans="1:16" hidden="1" x14ac:dyDescent="0.25"/>
    <row r="77" spans="1:16" hidden="1" x14ac:dyDescent="0.25"/>
    <row r="78" spans="1:16" hidden="1" x14ac:dyDescent="0.25">
      <c r="A78" s="163" t="s">
        <v>703</v>
      </c>
    </row>
    <row r="79" spans="1:16" ht="13.8" hidden="1" x14ac:dyDescent="0.3">
      <c r="A79" s="174" t="s">
        <v>704</v>
      </c>
      <c r="B79" s="164" t="s">
        <v>3</v>
      </c>
      <c r="C79" s="165" t="s">
        <v>648</v>
      </c>
      <c r="D79" s="165" t="s">
        <v>649</v>
      </c>
      <c r="E79" s="165" t="s">
        <v>650</v>
      </c>
      <c r="F79" s="165" t="s">
        <v>651</v>
      </c>
      <c r="G79" s="165" t="s">
        <v>652</v>
      </c>
      <c r="H79" s="165" t="s">
        <v>653</v>
      </c>
      <c r="I79" s="165" t="s">
        <v>654</v>
      </c>
      <c r="J79" s="165" t="s">
        <v>655</v>
      </c>
      <c r="K79" s="165" t="s">
        <v>656</v>
      </c>
      <c r="L79" s="165" t="s">
        <v>657</v>
      </c>
      <c r="M79" s="165" t="s">
        <v>658</v>
      </c>
      <c r="N79" s="165" t="s">
        <v>659</v>
      </c>
      <c r="O79" s="165" t="s">
        <v>447</v>
      </c>
    </row>
    <row r="80" spans="1:16" ht="13.8" hidden="1" x14ac:dyDescent="0.3">
      <c r="B80" s="164"/>
      <c r="C80" s="165"/>
      <c r="D80" s="165"/>
      <c r="E80" s="165"/>
      <c r="F80" s="165"/>
      <c r="G80" s="165"/>
      <c r="H80" s="165"/>
      <c r="I80" s="165"/>
      <c r="J80" s="165"/>
      <c r="K80" s="165"/>
      <c r="L80" s="165"/>
      <c r="M80" s="165"/>
      <c r="N80" s="165"/>
      <c r="O80" s="165"/>
    </row>
    <row r="81" spans="1:15" hidden="1" x14ac:dyDescent="0.25">
      <c r="A81" s="163" t="s">
        <v>705</v>
      </c>
      <c r="F81" s="163">
        <v>125</v>
      </c>
      <c r="G81" s="163">
        <v>125</v>
      </c>
      <c r="O81" s="163">
        <f t="shared" ref="O81:O86" si="7">SUM(F81:N81)</f>
        <v>250</v>
      </c>
    </row>
    <row r="82" spans="1:15" hidden="1" x14ac:dyDescent="0.25">
      <c r="A82" s="163" t="s">
        <v>706</v>
      </c>
      <c r="G82" s="163">
        <v>200</v>
      </c>
      <c r="O82" s="163">
        <f t="shared" si="7"/>
        <v>200</v>
      </c>
    </row>
    <row r="83" spans="1:15" hidden="1" x14ac:dyDescent="0.25">
      <c r="A83" s="163" t="s">
        <v>707</v>
      </c>
      <c r="H83" s="163">
        <v>300</v>
      </c>
      <c r="L83" s="163">
        <v>300</v>
      </c>
      <c r="O83" s="163">
        <f t="shared" si="7"/>
        <v>600</v>
      </c>
    </row>
    <row r="84" spans="1:15" hidden="1" x14ac:dyDescent="0.25">
      <c r="A84" s="163" t="s">
        <v>708</v>
      </c>
      <c r="H84" s="163">
        <v>175</v>
      </c>
      <c r="L84" s="163">
        <v>175</v>
      </c>
      <c r="M84" s="163">
        <f>175+175</f>
        <v>350</v>
      </c>
      <c r="O84" s="163">
        <f t="shared" si="7"/>
        <v>700</v>
      </c>
    </row>
    <row r="85" spans="1:15" hidden="1" x14ac:dyDescent="0.25">
      <c r="A85" s="163" t="s">
        <v>709</v>
      </c>
      <c r="H85" s="163">
        <v>150</v>
      </c>
      <c r="I85" s="163">
        <v>150</v>
      </c>
      <c r="L85" s="163">
        <v>150</v>
      </c>
      <c r="O85" s="163">
        <f t="shared" si="7"/>
        <v>450</v>
      </c>
    </row>
    <row r="86" spans="1:15" hidden="1" x14ac:dyDescent="0.25">
      <c r="A86" s="163" t="s">
        <v>710</v>
      </c>
      <c r="H86" s="163">
        <v>200</v>
      </c>
      <c r="J86" s="163">
        <v>200</v>
      </c>
      <c r="O86" s="163">
        <f t="shared" si="7"/>
        <v>400</v>
      </c>
    </row>
    <row r="87" spans="1:15" hidden="1" x14ac:dyDescent="0.25">
      <c r="A87" s="163" t="s">
        <v>711</v>
      </c>
      <c r="I87" s="163">
        <v>150</v>
      </c>
      <c r="O87" s="163">
        <f t="shared" ref="O87:O96" si="8">SUM(C87:N87)</f>
        <v>150</v>
      </c>
    </row>
    <row r="88" spans="1:15" hidden="1" x14ac:dyDescent="0.25">
      <c r="A88" s="163" t="s">
        <v>712</v>
      </c>
      <c r="I88" s="163">
        <v>300</v>
      </c>
      <c r="L88" s="163">
        <v>300</v>
      </c>
      <c r="O88" s="163">
        <f t="shared" si="8"/>
        <v>600</v>
      </c>
    </row>
    <row r="89" spans="1:15" hidden="1" x14ac:dyDescent="0.25">
      <c r="A89" s="163" t="s">
        <v>713</v>
      </c>
      <c r="L89" s="163">
        <v>500</v>
      </c>
      <c r="O89" s="163">
        <f t="shared" si="8"/>
        <v>500</v>
      </c>
    </row>
    <row r="90" spans="1:15" hidden="1" x14ac:dyDescent="0.25">
      <c r="A90" s="163" t="s">
        <v>714</v>
      </c>
      <c r="L90" s="163">
        <v>150</v>
      </c>
      <c r="O90" s="163">
        <f t="shared" si="8"/>
        <v>150</v>
      </c>
    </row>
    <row r="91" spans="1:15" hidden="1" x14ac:dyDescent="0.25">
      <c r="A91" s="163" t="s">
        <v>715</v>
      </c>
      <c r="B91" s="163" t="s">
        <v>716</v>
      </c>
      <c r="E91" s="163">
        <v>220</v>
      </c>
      <c r="L91" s="163">
        <v>110</v>
      </c>
      <c r="O91" s="163">
        <f t="shared" si="8"/>
        <v>330</v>
      </c>
    </row>
    <row r="92" spans="1:15" hidden="1" x14ac:dyDescent="0.25">
      <c r="A92" s="163" t="s">
        <v>717</v>
      </c>
      <c r="L92" s="163">
        <v>150</v>
      </c>
      <c r="N92" s="163">
        <v>150</v>
      </c>
      <c r="O92" s="163">
        <f>SUM(C92:N92)</f>
        <v>300</v>
      </c>
    </row>
    <row r="93" spans="1:15" hidden="1" x14ac:dyDescent="0.25">
      <c r="A93" s="163" t="s">
        <v>718</v>
      </c>
      <c r="N93" s="163">
        <f>175+175+300+175</f>
        <v>825</v>
      </c>
      <c r="O93" s="163">
        <f>SUM(C93:N93)</f>
        <v>825</v>
      </c>
    </row>
    <row r="94" spans="1:15" hidden="1" x14ac:dyDescent="0.25">
      <c r="A94" s="163" t="s">
        <v>719</v>
      </c>
      <c r="N94" s="163">
        <f>155+170</f>
        <v>325</v>
      </c>
      <c r="O94" s="163">
        <f>SUM(C94:N94)</f>
        <v>325</v>
      </c>
    </row>
    <row r="95" spans="1:15" hidden="1" x14ac:dyDescent="0.25">
      <c r="A95" s="163" t="s">
        <v>720</v>
      </c>
      <c r="N95" s="163">
        <v>400</v>
      </c>
      <c r="O95" s="163">
        <f>SUM(C95:N95)</f>
        <v>400</v>
      </c>
    </row>
    <row r="96" spans="1:15" hidden="1" x14ac:dyDescent="0.25">
      <c r="O96" s="163">
        <f t="shared" si="8"/>
        <v>0</v>
      </c>
    </row>
    <row r="97" spans="1:15" hidden="1" x14ac:dyDescent="0.25"/>
    <row r="98" spans="1:15" ht="13.8" hidden="1" x14ac:dyDescent="0.3">
      <c r="A98" s="168" t="s">
        <v>447</v>
      </c>
      <c r="B98" s="168"/>
      <c r="C98" s="169">
        <f>SUM(C81:C97)</f>
        <v>0</v>
      </c>
      <c r="D98" s="169">
        <f t="shared" ref="D98:O98" si="9">SUM(D81:D97)</f>
        <v>0</v>
      </c>
      <c r="E98" s="169">
        <f t="shared" si="9"/>
        <v>220</v>
      </c>
      <c r="F98" s="169">
        <f t="shared" si="9"/>
        <v>125</v>
      </c>
      <c r="G98" s="169">
        <f>SUM(G81:G97)</f>
        <v>325</v>
      </c>
      <c r="H98" s="169">
        <f>SUM(H81:H97)</f>
        <v>825</v>
      </c>
      <c r="I98" s="169">
        <f>SUM(I81:I97)</f>
        <v>600</v>
      </c>
      <c r="J98" s="169">
        <f t="shared" si="9"/>
        <v>200</v>
      </c>
      <c r="K98" s="169">
        <f t="shared" si="9"/>
        <v>0</v>
      </c>
      <c r="L98" s="169">
        <f t="shared" si="9"/>
        <v>1835</v>
      </c>
      <c r="M98" s="169">
        <f>SUM(M81:M97)</f>
        <v>350</v>
      </c>
      <c r="N98" s="169">
        <f t="shared" si="9"/>
        <v>1700</v>
      </c>
      <c r="O98" s="169">
        <f t="shared" si="9"/>
        <v>6180</v>
      </c>
    </row>
    <row r="99" spans="1:15" hidden="1" x14ac:dyDescent="0.25"/>
    <row r="100" spans="1:15" hidden="1" x14ac:dyDescent="0.25"/>
    <row r="101" spans="1:15" hidden="1" x14ac:dyDescent="0.25"/>
    <row r="102" spans="1:15" hidden="1" x14ac:dyDescent="0.25">
      <c r="A102" s="163" t="s">
        <v>721</v>
      </c>
    </row>
    <row r="103" spans="1:15" ht="13.8" hidden="1" x14ac:dyDescent="0.3">
      <c r="B103" s="164" t="s">
        <v>3</v>
      </c>
      <c r="C103" s="165" t="s">
        <v>648</v>
      </c>
      <c r="D103" s="165" t="s">
        <v>649</v>
      </c>
      <c r="E103" s="165" t="s">
        <v>650</v>
      </c>
      <c r="F103" s="165" t="s">
        <v>651</v>
      </c>
      <c r="G103" s="165" t="s">
        <v>652</v>
      </c>
      <c r="H103" s="165" t="s">
        <v>653</v>
      </c>
      <c r="I103" s="165" t="s">
        <v>654</v>
      </c>
      <c r="J103" s="165" t="s">
        <v>655</v>
      </c>
      <c r="K103" s="165" t="s">
        <v>656</v>
      </c>
      <c r="L103" s="165" t="s">
        <v>657</v>
      </c>
      <c r="M103" s="165" t="s">
        <v>658</v>
      </c>
      <c r="N103" s="165" t="s">
        <v>659</v>
      </c>
      <c r="O103" s="165" t="s">
        <v>447</v>
      </c>
    </row>
    <row r="104" spans="1:15" hidden="1" x14ac:dyDescent="0.25"/>
    <row r="105" spans="1:15" hidden="1" x14ac:dyDescent="0.25">
      <c r="A105" s="163" t="s">
        <v>722</v>
      </c>
      <c r="C105" s="163">
        <v>125</v>
      </c>
      <c r="D105" s="163">
        <v>100</v>
      </c>
      <c r="F105" s="163">
        <v>125</v>
      </c>
      <c r="H105" s="163">
        <v>100</v>
      </c>
      <c r="I105" s="163">
        <v>125</v>
      </c>
      <c r="M105" s="163">
        <v>125</v>
      </c>
      <c r="N105" s="163">
        <v>125</v>
      </c>
      <c r="O105" s="163">
        <f>SUM(C105:N105)</f>
        <v>825</v>
      </c>
    </row>
    <row r="106" spans="1:15" hidden="1" x14ac:dyDescent="0.25">
      <c r="A106" s="163" t="s">
        <v>723</v>
      </c>
      <c r="C106" s="163">
        <f>22.59+13.35</f>
        <v>35.94</v>
      </c>
      <c r="D106" s="163">
        <f>8.26+32.39</f>
        <v>40.65</v>
      </c>
      <c r="G106" s="163">
        <f>3.6+0.89</f>
        <v>4.49</v>
      </c>
      <c r="K106" s="163">
        <f>-1897.52-2155.71</f>
        <v>-4053.23</v>
      </c>
      <c r="L106" s="163">
        <f>-1349.48-1937.64</f>
        <v>-3287.12</v>
      </c>
      <c r="N106" s="163">
        <f>-759.93-751.63</f>
        <v>-1511.56</v>
      </c>
      <c r="O106" s="163">
        <f t="shared" ref="O106:O114" si="10">SUM(C106:N106)</f>
        <v>-8770.83</v>
      </c>
    </row>
    <row r="107" spans="1:15" hidden="1" x14ac:dyDescent="0.25">
      <c r="A107" s="163" t="s">
        <v>724</v>
      </c>
      <c r="C107" s="163">
        <v>317.5</v>
      </c>
      <c r="D107" s="163">
        <v>117.5</v>
      </c>
      <c r="G107" s="163">
        <f>115.09+111.38</f>
        <v>226.47</v>
      </c>
      <c r="I107" s="163">
        <v>435.6</v>
      </c>
      <c r="L107" s="163">
        <v>449.21</v>
      </c>
      <c r="O107" s="163">
        <f t="shared" si="10"/>
        <v>1546.2800000000002</v>
      </c>
    </row>
    <row r="108" spans="1:15" hidden="1" x14ac:dyDescent="0.25">
      <c r="A108" s="163" t="s">
        <v>725</v>
      </c>
      <c r="D108" s="163">
        <v>514.58000000000004</v>
      </c>
      <c r="H108" s="163">
        <v>492.94</v>
      </c>
      <c r="J108" s="163">
        <v>746.71</v>
      </c>
      <c r="K108" s="163">
        <v>746.71</v>
      </c>
      <c r="L108" s="163">
        <v>-746.71</v>
      </c>
      <c r="O108" s="163">
        <f t="shared" si="10"/>
        <v>1754.23</v>
      </c>
    </row>
    <row r="109" spans="1:15" hidden="1" x14ac:dyDescent="0.25">
      <c r="O109" s="163">
        <f t="shared" si="10"/>
        <v>0</v>
      </c>
    </row>
    <row r="110" spans="1:15" hidden="1" x14ac:dyDescent="0.25">
      <c r="O110" s="163">
        <f t="shared" si="10"/>
        <v>0</v>
      </c>
    </row>
    <row r="111" spans="1:15" hidden="1" x14ac:dyDescent="0.25">
      <c r="O111" s="163">
        <f t="shared" si="10"/>
        <v>0</v>
      </c>
    </row>
    <row r="112" spans="1:15" hidden="1" x14ac:dyDescent="0.25">
      <c r="O112" s="163">
        <f t="shared" si="10"/>
        <v>0</v>
      </c>
    </row>
    <row r="113" spans="1:15" hidden="1" x14ac:dyDescent="0.25">
      <c r="O113" s="163">
        <f t="shared" si="10"/>
        <v>0</v>
      </c>
    </row>
    <row r="114" spans="1:15" hidden="1" x14ac:dyDescent="0.25">
      <c r="O114" s="163">
        <f t="shared" si="10"/>
        <v>0</v>
      </c>
    </row>
    <row r="115" spans="1:15" hidden="1" x14ac:dyDescent="0.25"/>
    <row r="116" spans="1:15" ht="13.8" hidden="1" x14ac:dyDescent="0.3">
      <c r="A116" s="168" t="s">
        <v>447</v>
      </c>
      <c r="B116" s="168"/>
      <c r="C116" s="169">
        <f>SUM(C99:C115)</f>
        <v>478.44</v>
      </c>
      <c r="D116" s="169">
        <f t="shared" ref="D116:F116" si="11">SUM(D99:D115)</f>
        <v>772.73</v>
      </c>
      <c r="E116" s="169">
        <f t="shared" si="11"/>
        <v>0</v>
      </c>
      <c r="F116" s="169">
        <f t="shared" si="11"/>
        <v>125</v>
      </c>
      <c r="G116" s="169">
        <f>SUM(G99:G115)</f>
        <v>230.96</v>
      </c>
      <c r="H116" s="169">
        <f>SUM(H99:H115)</f>
        <v>592.94000000000005</v>
      </c>
      <c r="I116" s="169">
        <f>SUM(I99:I115)</f>
        <v>560.6</v>
      </c>
      <c r="J116" s="169">
        <f t="shared" ref="J116:L116" si="12">SUM(J99:J115)</f>
        <v>746.71</v>
      </c>
      <c r="K116" s="169">
        <f t="shared" si="12"/>
        <v>-3306.52</v>
      </c>
      <c r="L116" s="169">
        <f t="shared" si="12"/>
        <v>-3584.62</v>
      </c>
      <c r="M116" s="169">
        <f>SUM(M99:M115)</f>
        <v>125</v>
      </c>
      <c r="N116" s="169">
        <f t="shared" ref="N116:O116" si="13">SUM(N99:N115)</f>
        <v>-1386.56</v>
      </c>
      <c r="O116" s="169">
        <f t="shared" si="13"/>
        <v>-4645.32</v>
      </c>
    </row>
    <row r="117" spans="1:15" hidden="1" x14ac:dyDescent="0.25"/>
    <row r="118" spans="1:15" hidden="1" x14ac:dyDescent="0.25"/>
    <row r="119" spans="1:15" hidden="1" x14ac:dyDescent="0.25">
      <c r="A119" s="163" t="s">
        <v>726</v>
      </c>
    </row>
    <row r="120" spans="1:15" ht="13.8" hidden="1" x14ac:dyDescent="0.3">
      <c r="B120" s="164" t="s">
        <v>3</v>
      </c>
      <c r="C120" s="165" t="s">
        <v>648</v>
      </c>
      <c r="D120" s="165" t="s">
        <v>649</v>
      </c>
      <c r="E120" s="165" t="s">
        <v>650</v>
      </c>
      <c r="F120" s="165" t="s">
        <v>651</v>
      </c>
      <c r="G120" s="165" t="s">
        <v>652</v>
      </c>
      <c r="H120" s="165" t="s">
        <v>653</v>
      </c>
      <c r="I120" s="165" t="s">
        <v>654</v>
      </c>
      <c r="J120" s="165" t="s">
        <v>655</v>
      </c>
      <c r="K120" s="165" t="s">
        <v>656</v>
      </c>
      <c r="L120" s="165" t="s">
        <v>657</v>
      </c>
      <c r="M120" s="165" t="s">
        <v>658</v>
      </c>
      <c r="N120" s="165" t="s">
        <v>659</v>
      </c>
      <c r="O120" s="165" t="s">
        <v>447</v>
      </c>
    </row>
    <row r="121" spans="1:15" hidden="1" x14ac:dyDescent="0.25"/>
    <row r="122" spans="1:15" hidden="1" x14ac:dyDescent="0.25">
      <c r="A122" s="163" t="s">
        <v>727</v>
      </c>
      <c r="C122" s="163">
        <v>405.62</v>
      </c>
      <c r="D122" s="163">
        <v>407</v>
      </c>
      <c r="E122" s="163">
        <v>407</v>
      </c>
      <c r="F122" s="163">
        <v>407</v>
      </c>
      <c r="G122" s="163">
        <v>407</v>
      </c>
      <c r="H122" s="163">
        <v>407</v>
      </c>
      <c r="I122" s="163">
        <v>407</v>
      </c>
      <c r="J122" s="163">
        <v>407</v>
      </c>
      <c r="K122" s="163">
        <v>407</v>
      </c>
      <c r="L122" s="163">
        <v>407</v>
      </c>
      <c r="M122" s="163">
        <v>407</v>
      </c>
      <c r="N122" s="163">
        <v>407</v>
      </c>
      <c r="O122" s="163">
        <f>SUM(C122:N122)</f>
        <v>4882.62</v>
      </c>
    </row>
    <row r="123" spans="1:15" hidden="1" x14ac:dyDescent="0.25">
      <c r="A123" s="163" t="s">
        <v>728</v>
      </c>
      <c r="J123" s="163">
        <f>1333.33+750</f>
        <v>2083.33</v>
      </c>
      <c r="O123" s="163">
        <f t="shared" ref="O123:O125" si="14">SUM(C123:N123)</f>
        <v>2083.33</v>
      </c>
    </row>
    <row r="124" spans="1:15" hidden="1" x14ac:dyDescent="0.25">
      <c r="O124" s="163">
        <f t="shared" si="14"/>
        <v>0</v>
      </c>
    </row>
    <row r="125" spans="1:15" hidden="1" x14ac:dyDescent="0.25">
      <c r="O125" s="163">
        <f t="shared" si="14"/>
        <v>0</v>
      </c>
    </row>
    <row r="126" spans="1:15" hidden="1" x14ac:dyDescent="0.25"/>
    <row r="127" spans="1:15" hidden="1" x14ac:dyDescent="0.25"/>
    <row r="128" spans="1:15" ht="13.8" hidden="1" x14ac:dyDescent="0.3">
      <c r="A128" s="168" t="s">
        <v>447</v>
      </c>
      <c r="B128" s="168"/>
      <c r="C128" s="169">
        <f>SUM(C122:C127)</f>
        <v>405.62</v>
      </c>
      <c r="D128" s="169">
        <f t="shared" ref="D128:O128" si="15">SUM(D122:D127)</f>
        <v>407</v>
      </c>
      <c r="E128" s="169">
        <f t="shared" si="15"/>
        <v>407</v>
      </c>
      <c r="F128" s="169">
        <f t="shared" si="15"/>
        <v>407</v>
      </c>
      <c r="G128" s="169">
        <f t="shared" si="15"/>
        <v>407</v>
      </c>
      <c r="H128" s="169">
        <f t="shared" si="15"/>
        <v>407</v>
      </c>
      <c r="I128" s="169">
        <f t="shared" si="15"/>
        <v>407</v>
      </c>
      <c r="J128" s="169">
        <f t="shared" si="15"/>
        <v>2490.33</v>
      </c>
      <c r="K128" s="169">
        <f t="shared" si="15"/>
        <v>407</v>
      </c>
      <c r="L128" s="169">
        <f t="shared" si="15"/>
        <v>407</v>
      </c>
      <c r="M128" s="169">
        <f t="shared" si="15"/>
        <v>407</v>
      </c>
      <c r="N128" s="169">
        <f t="shared" si="15"/>
        <v>407</v>
      </c>
      <c r="O128" s="169">
        <f t="shared" si="15"/>
        <v>6965.95</v>
      </c>
    </row>
    <row r="129" hidden="1" x14ac:dyDescent="0.25"/>
    <row r="130" ht="12.6" thickTop="1" x14ac:dyDescent="0.25"/>
  </sheetData>
  <mergeCells count="1">
    <mergeCell ref="A21:E23"/>
  </mergeCells>
  <pageMargins left="0" right="0" top="0.75" bottom="0.75" header="0.3" footer="0.3"/>
  <pageSetup scale="75"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B960C-B03F-4A1D-B229-1EB7B55E5357}">
  <dimension ref="A1:D137"/>
  <sheetViews>
    <sheetView workbookViewId="0"/>
  </sheetViews>
  <sheetFormatPr defaultRowHeight="13.2" x14ac:dyDescent="0.25"/>
  <sheetData>
    <row r="1" spans="1:4" x14ac:dyDescent="0.25">
      <c r="A1" t="s">
        <v>286</v>
      </c>
      <c r="B1" t="s">
        <v>315</v>
      </c>
      <c r="C1" t="s">
        <v>352</v>
      </c>
      <c r="D1" t="s">
        <v>430</v>
      </c>
    </row>
    <row r="2" spans="1:4" x14ac:dyDescent="0.25">
      <c r="A2">
        <v>14</v>
      </c>
      <c r="B2">
        <v>25</v>
      </c>
      <c r="C2">
        <v>45</v>
      </c>
      <c r="D2">
        <v>9</v>
      </c>
    </row>
    <row r="3" spans="1:4" x14ac:dyDescent="0.25">
      <c r="A3" t="s">
        <v>287</v>
      </c>
      <c r="B3" t="s">
        <v>287</v>
      </c>
      <c r="C3" t="s">
        <v>287</v>
      </c>
      <c r="D3" t="s">
        <v>287</v>
      </c>
    </row>
    <row r="4" spans="1:4" x14ac:dyDescent="0.25">
      <c r="A4">
        <v>44926</v>
      </c>
      <c r="B4">
        <v>44926</v>
      </c>
      <c r="C4">
        <v>44926</v>
      </c>
      <c r="D4">
        <v>44926</v>
      </c>
    </row>
    <row r="5" spans="1:4" x14ac:dyDescent="0.25">
      <c r="A5" t="s">
        <v>288</v>
      </c>
      <c r="B5" t="s">
        <v>288</v>
      </c>
      <c r="C5" t="s">
        <v>288</v>
      </c>
      <c r="D5" t="s">
        <v>288</v>
      </c>
    </row>
    <row r="6" spans="1:4" x14ac:dyDescent="0.25">
      <c r="A6" t="s">
        <v>289</v>
      </c>
      <c r="B6" t="s">
        <v>289</v>
      </c>
      <c r="C6" t="s">
        <v>353</v>
      </c>
      <c r="D6" t="s">
        <v>289</v>
      </c>
    </row>
    <row r="7" spans="1:4" x14ac:dyDescent="0.25">
      <c r="A7">
        <v>135951</v>
      </c>
      <c r="B7">
        <v>214191</v>
      </c>
      <c r="C7">
        <v>309215</v>
      </c>
      <c r="D7">
        <v>7837021</v>
      </c>
    </row>
    <row r="8" spans="1:4" x14ac:dyDescent="0.25">
      <c r="A8" t="s">
        <v>290</v>
      </c>
      <c r="B8" t="s">
        <v>316</v>
      </c>
      <c r="C8" t="s">
        <v>354</v>
      </c>
      <c r="D8" t="s">
        <v>431</v>
      </c>
    </row>
    <row r="9" spans="1:4" x14ac:dyDescent="0.25">
      <c r="A9" t="s">
        <v>291</v>
      </c>
      <c r="B9" t="s">
        <v>291</v>
      </c>
      <c r="C9" t="s">
        <v>355</v>
      </c>
      <c r="D9" t="s">
        <v>291</v>
      </c>
    </row>
    <row r="10" spans="1:4" x14ac:dyDescent="0.25">
      <c r="A10">
        <v>0</v>
      </c>
      <c r="B10">
        <v>0</v>
      </c>
      <c r="C10">
        <v>36699</v>
      </c>
      <c r="D10">
        <v>165756</v>
      </c>
    </row>
    <row r="11" spans="1:4" x14ac:dyDescent="0.25">
      <c r="A11" t="s">
        <v>292</v>
      </c>
      <c r="B11" t="s">
        <v>317</v>
      </c>
      <c r="C11" t="s">
        <v>356</v>
      </c>
      <c r="D11" t="s">
        <v>432</v>
      </c>
    </row>
    <row r="12" spans="1:4" x14ac:dyDescent="0.25">
      <c r="A12" t="s">
        <v>293</v>
      </c>
      <c r="B12" t="s">
        <v>293</v>
      </c>
      <c r="C12" t="s">
        <v>295</v>
      </c>
      <c r="D12" t="s">
        <v>433</v>
      </c>
    </row>
    <row r="13" spans="1:4" x14ac:dyDescent="0.25">
      <c r="A13">
        <v>0</v>
      </c>
      <c r="B13">
        <v>0</v>
      </c>
      <c r="C13">
        <v>29513</v>
      </c>
      <c r="D13">
        <v>82560</v>
      </c>
    </row>
    <row r="14" spans="1:4" x14ac:dyDescent="0.25">
      <c r="A14" t="s">
        <v>294</v>
      </c>
      <c r="B14" t="s">
        <v>318</v>
      </c>
      <c r="C14" t="s">
        <v>357</v>
      </c>
      <c r="D14" t="s">
        <v>434</v>
      </c>
    </row>
    <row r="15" spans="1:4" x14ac:dyDescent="0.25">
      <c r="A15" t="s">
        <v>295</v>
      </c>
      <c r="B15" t="s">
        <v>319</v>
      </c>
      <c r="C15" t="s">
        <v>297</v>
      </c>
      <c r="D15" t="s">
        <v>355</v>
      </c>
    </row>
    <row r="16" spans="1:4" x14ac:dyDescent="0.25">
      <c r="A16">
        <v>2178537</v>
      </c>
      <c r="B16">
        <v>0</v>
      </c>
      <c r="C16">
        <v>187433</v>
      </c>
      <c r="D16">
        <v>249432</v>
      </c>
    </row>
    <row r="17" spans="1:4" x14ac:dyDescent="0.25">
      <c r="A17" t="s">
        <v>296</v>
      </c>
      <c r="B17" t="s">
        <v>320</v>
      </c>
      <c r="C17" t="s">
        <v>358</v>
      </c>
      <c r="D17" t="s">
        <v>435</v>
      </c>
    </row>
    <row r="18" spans="1:4" x14ac:dyDescent="0.25">
      <c r="A18" t="s">
        <v>297</v>
      </c>
      <c r="B18" t="s">
        <v>295</v>
      </c>
      <c r="C18" t="s">
        <v>299</v>
      </c>
      <c r="D18" t="s">
        <v>297</v>
      </c>
    </row>
    <row r="19" spans="1:4" x14ac:dyDescent="0.25">
      <c r="A19">
        <v>785089</v>
      </c>
      <c r="B19">
        <v>282786</v>
      </c>
      <c r="C19">
        <v>46033</v>
      </c>
      <c r="D19">
        <v>17848</v>
      </c>
    </row>
    <row r="20" spans="1:4" x14ac:dyDescent="0.25">
      <c r="A20" t="s">
        <v>298</v>
      </c>
      <c r="B20" t="s">
        <v>321</v>
      </c>
      <c r="C20" t="s">
        <v>359</v>
      </c>
      <c r="D20" t="s">
        <v>436</v>
      </c>
    </row>
    <row r="21" spans="1:4" x14ac:dyDescent="0.25">
      <c r="A21" t="s">
        <v>299</v>
      </c>
      <c r="B21" t="s">
        <v>297</v>
      </c>
      <c r="C21" t="s">
        <v>324</v>
      </c>
      <c r="D21" t="s">
        <v>324</v>
      </c>
    </row>
    <row r="22" spans="1:4" x14ac:dyDescent="0.25">
      <c r="A22">
        <v>558622</v>
      </c>
      <c r="B22">
        <v>26477</v>
      </c>
      <c r="C22">
        <v>401668</v>
      </c>
      <c r="D22">
        <v>14971</v>
      </c>
    </row>
    <row r="23" spans="1:4" x14ac:dyDescent="0.25">
      <c r="A23" t="s">
        <v>300</v>
      </c>
      <c r="B23" t="s">
        <v>322</v>
      </c>
      <c r="C23" t="s">
        <v>360</v>
      </c>
      <c r="D23" t="s">
        <v>437</v>
      </c>
    </row>
    <row r="24" spans="1:4" x14ac:dyDescent="0.25">
      <c r="A24" t="s">
        <v>301</v>
      </c>
      <c r="B24" t="s">
        <v>299</v>
      </c>
      <c r="C24" t="s">
        <v>361</v>
      </c>
      <c r="D24" t="s">
        <v>438</v>
      </c>
    </row>
    <row r="25" spans="1:4" x14ac:dyDescent="0.25">
      <c r="A25">
        <v>560400</v>
      </c>
      <c r="B25">
        <v>22208</v>
      </c>
      <c r="C25">
        <v>0</v>
      </c>
      <c r="D25">
        <v>64660</v>
      </c>
    </row>
    <row r="26" spans="1:4" x14ac:dyDescent="0.25">
      <c r="A26" t="s">
        <v>302</v>
      </c>
      <c r="B26" t="s">
        <v>323</v>
      </c>
      <c r="C26" t="s">
        <v>362</v>
      </c>
      <c r="D26" t="s">
        <v>439</v>
      </c>
    </row>
    <row r="27" spans="1:4" x14ac:dyDescent="0.25">
      <c r="A27" t="s">
        <v>303</v>
      </c>
      <c r="B27" t="s">
        <v>324</v>
      </c>
      <c r="C27" t="s">
        <v>332</v>
      </c>
      <c r="D27" t="s">
        <v>313</v>
      </c>
    </row>
    <row r="28" spans="1:4" x14ac:dyDescent="0.25">
      <c r="A28">
        <v>0</v>
      </c>
      <c r="B28">
        <v>0</v>
      </c>
      <c r="C28">
        <v>43499</v>
      </c>
      <c r="D28" t="s">
        <v>285</v>
      </c>
    </row>
    <row r="29" spans="1:4" x14ac:dyDescent="0.25">
      <c r="A29" t="s">
        <v>304</v>
      </c>
      <c r="B29" t="s">
        <v>325</v>
      </c>
      <c r="C29" t="s">
        <v>363</v>
      </c>
      <c r="D29" t="s">
        <v>314</v>
      </c>
    </row>
    <row r="30" spans="1:4" x14ac:dyDescent="0.25">
      <c r="A30" t="s">
        <v>305</v>
      </c>
      <c r="B30" t="s">
        <v>326</v>
      </c>
      <c r="C30" t="s">
        <v>309</v>
      </c>
    </row>
    <row r="31" spans="1:4" x14ac:dyDescent="0.25">
      <c r="A31">
        <v>0</v>
      </c>
      <c r="B31">
        <v>4701</v>
      </c>
      <c r="C31">
        <v>566254</v>
      </c>
    </row>
    <row r="32" spans="1:4" x14ac:dyDescent="0.25">
      <c r="A32" t="s">
        <v>306</v>
      </c>
      <c r="B32" t="s">
        <v>327</v>
      </c>
      <c r="C32" t="s">
        <v>364</v>
      </c>
    </row>
    <row r="33" spans="1:3" x14ac:dyDescent="0.25">
      <c r="A33" t="s">
        <v>307</v>
      </c>
      <c r="B33" t="s">
        <v>301</v>
      </c>
      <c r="C33" t="s">
        <v>311</v>
      </c>
    </row>
    <row r="34" spans="1:3" x14ac:dyDescent="0.25">
      <c r="A34">
        <v>2430988</v>
      </c>
      <c r="B34">
        <v>30877</v>
      </c>
      <c r="C34">
        <v>69706</v>
      </c>
    </row>
    <row r="35" spans="1:3" x14ac:dyDescent="0.25">
      <c r="A35" t="s">
        <v>308</v>
      </c>
      <c r="B35" t="s">
        <v>328</v>
      </c>
      <c r="C35" t="s">
        <v>365</v>
      </c>
    </row>
    <row r="36" spans="1:3" x14ac:dyDescent="0.25">
      <c r="A36" t="s">
        <v>309</v>
      </c>
      <c r="B36" t="s">
        <v>303</v>
      </c>
      <c r="C36" t="s">
        <v>340</v>
      </c>
    </row>
    <row r="37" spans="1:3" x14ac:dyDescent="0.25">
      <c r="A37">
        <v>0</v>
      </c>
      <c r="B37">
        <v>29548</v>
      </c>
      <c r="C37">
        <v>58446</v>
      </c>
    </row>
    <row r="38" spans="1:3" x14ac:dyDescent="0.25">
      <c r="A38" t="s">
        <v>310</v>
      </c>
      <c r="B38" t="s">
        <v>329</v>
      </c>
      <c r="C38" t="s">
        <v>366</v>
      </c>
    </row>
    <row r="39" spans="1:3" x14ac:dyDescent="0.25">
      <c r="A39" t="s">
        <v>311</v>
      </c>
      <c r="B39" t="s">
        <v>330</v>
      </c>
      <c r="C39" t="s">
        <v>367</v>
      </c>
    </row>
    <row r="40" spans="1:3" x14ac:dyDescent="0.25">
      <c r="A40">
        <v>0</v>
      </c>
      <c r="B40">
        <v>5850</v>
      </c>
      <c r="C40">
        <v>517124</v>
      </c>
    </row>
    <row r="41" spans="1:3" x14ac:dyDescent="0.25">
      <c r="A41" t="s">
        <v>312</v>
      </c>
      <c r="B41" t="s">
        <v>331</v>
      </c>
      <c r="C41" t="s">
        <v>368</v>
      </c>
    </row>
    <row r="42" spans="1:3" x14ac:dyDescent="0.25">
      <c r="A42" t="s">
        <v>313</v>
      </c>
      <c r="B42" t="s">
        <v>332</v>
      </c>
      <c r="C42" t="s">
        <v>369</v>
      </c>
    </row>
    <row r="43" spans="1:3" x14ac:dyDescent="0.25">
      <c r="A43" t="s">
        <v>285</v>
      </c>
      <c r="B43">
        <v>103976</v>
      </c>
      <c r="C43">
        <v>8510</v>
      </c>
    </row>
    <row r="44" spans="1:3" x14ac:dyDescent="0.25">
      <c r="A44" t="s">
        <v>314</v>
      </c>
      <c r="B44" t="s">
        <v>333</v>
      </c>
      <c r="C44" t="s">
        <v>370</v>
      </c>
    </row>
    <row r="45" spans="1:3" x14ac:dyDescent="0.25">
      <c r="B45" t="s">
        <v>334</v>
      </c>
      <c r="C45" t="s">
        <v>371</v>
      </c>
    </row>
    <row r="46" spans="1:3" x14ac:dyDescent="0.25">
      <c r="B46">
        <v>36597</v>
      </c>
      <c r="C46">
        <v>70200</v>
      </c>
    </row>
    <row r="47" spans="1:3" x14ac:dyDescent="0.25">
      <c r="B47" t="s">
        <v>335</v>
      </c>
      <c r="C47" t="s">
        <v>372</v>
      </c>
    </row>
    <row r="48" spans="1:3" x14ac:dyDescent="0.25">
      <c r="B48" t="s">
        <v>336</v>
      </c>
      <c r="C48" t="s">
        <v>373</v>
      </c>
    </row>
    <row r="49" spans="2:3" x14ac:dyDescent="0.25">
      <c r="B49">
        <v>8716</v>
      </c>
      <c r="C49">
        <v>164746</v>
      </c>
    </row>
    <row r="50" spans="2:3" x14ac:dyDescent="0.25">
      <c r="B50" t="s">
        <v>337</v>
      </c>
      <c r="C50" t="s">
        <v>374</v>
      </c>
    </row>
    <row r="51" spans="2:3" x14ac:dyDescent="0.25">
      <c r="B51" t="s">
        <v>307</v>
      </c>
      <c r="C51" t="s">
        <v>375</v>
      </c>
    </row>
    <row r="52" spans="2:3" x14ac:dyDescent="0.25">
      <c r="B52">
        <v>0</v>
      </c>
      <c r="C52">
        <v>37173</v>
      </c>
    </row>
    <row r="53" spans="2:3" x14ac:dyDescent="0.25">
      <c r="B53" t="s">
        <v>338</v>
      </c>
      <c r="C53" t="s">
        <v>376</v>
      </c>
    </row>
    <row r="54" spans="2:3" x14ac:dyDescent="0.25">
      <c r="B54" t="s">
        <v>309</v>
      </c>
      <c r="C54" t="s">
        <v>377</v>
      </c>
    </row>
    <row r="55" spans="2:3" x14ac:dyDescent="0.25">
      <c r="B55">
        <v>0</v>
      </c>
      <c r="C55">
        <v>16456</v>
      </c>
    </row>
    <row r="56" spans="2:3" x14ac:dyDescent="0.25">
      <c r="B56" t="s">
        <v>339</v>
      </c>
      <c r="C56" t="s">
        <v>378</v>
      </c>
    </row>
    <row r="57" spans="2:3" x14ac:dyDescent="0.25">
      <c r="B57" t="s">
        <v>340</v>
      </c>
      <c r="C57" t="s">
        <v>379</v>
      </c>
    </row>
    <row r="58" spans="2:3" x14ac:dyDescent="0.25">
      <c r="B58">
        <v>403057</v>
      </c>
      <c r="C58">
        <v>416942</v>
      </c>
    </row>
    <row r="59" spans="2:3" x14ac:dyDescent="0.25">
      <c r="B59" t="s">
        <v>341</v>
      </c>
      <c r="C59" t="s">
        <v>380</v>
      </c>
    </row>
    <row r="60" spans="2:3" x14ac:dyDescent="0.25">
      <c r="B60" t="s">
        <v>342</v>
      </c>
      <c r="C60" t="s">
        <v>381</v>
      </c>
    </row>
    <row r="61" spans="2:3" x14ac:dyDescent="0.25">
      <c r="B61">
        <v>9047</v>
      </c>
      <c r="C61">
        <v>43389</v>
      </c>
    </row>
    <row r="62" spans="2:3" x14ac:dyDescent="0.25">
      <c r="B62" t="s">
        <v>343</v>
      </c>
      <c r="C62" t="s">
        <v>382</v>
      </c>
    </row>
    <row r="63" spans="2:3" x14ac:dyDescent="0.25">
      <c r="B63" t="s">
        <v>344</v>
      </c>
      <c r="C63" t="s">
        <v>383</v>
      </c>
    </row>
    <row r="64" spans="2:3" x14ac:dyDescent="0.25">
      <c r="B64">
        <v>878729</v>
      </c>
      <c r="C64">
        <v>1017</v>
      </c>
    </row>
    <row r="65" spans="2:3" x14ac:dyDescent="0.25">
      <c r="B65" t="s">
        <v>345</v>
      </c>
      <c r="C65" t="s">
        <v>384</v>
      </c>
    </row>
    <row r="66" spans="2:3" x14ac:dyDescent="0.25">
      <c r="B66" t="s">
        <v>346</v>
      </c>
      <c r="C66" t="s">
        <v>385</v>
      </c>
    </row>
    <row r="67" spans="2:3" x14ac:dyDescent="0.25">
      <c r="B67">
        <v>59663</v>
      </c>
      <c r="C67">
        <v>103319</v>
      </c>
    </row>
    <row r="68" spans="2:3" x14ac:dyDescent="0.25">
      <c r="B68" t="s">
        <v>347</v>
      </c>
      <c r="C68" t="s">
        <v>386</v>
      </c>
    </row>
    <row r="69" spans="2:3" x14ac:dyDescent="0.25">
      <c r="B69" t="s">
        <v>348</v>
      </c>
      <c r="C69" t="s">
        <v>387</v>
      </c>
    </row>
    <row r="70" spans="2:3" x14ac:dyDescent="0.25">
      <c r="B70">
        <v>44268</v>
      </c>
      <c r="C70">
        <v>0</v>
      </c>
    </row>
    <row r="71" spans="2:3" x14ac:dyDescent="0.25">
      <c r="B71" t="s">
        <v>349</v>
      </c>
      <c r="C71" t="s">
        <v>388</v>
      </c>
    </row>
    <row r="72" spans="2:3" x14ac:dyDescent="0.25">
      <c r="B72" t="s">
        <v>350</v>
      </c>
      <c r="C72" t="s">
        <v>389</v>
      </c>
    </row>
    <row r="73" spans="2:3" x14ac:dyDescent="0.25">
      <c r="B73">
        <v>31009664</v>
      </c>
      <c r="C73">
        <v>0</v>
      </c>
    </row>
    <row r="74" spans="2:3" x14ac:dyDescent="0.25">
      <c r="B74" t="s">
        <v>351</v>
      </c>
      <c r="C74" t="s">
        <v>390</v>
      </c>
    </row>
    <row r="75" spans="2:3" x14ac:dyDescent="0.25">
      <c r="B75" t="s">
        <v>313</v>
      </c>
      <c r="C75" t="s">
        <v>391</v>
      </c>
    </row>
    <row r="76" spans="2:3" x14ac:dyDescent="0.25">
      <c r="B76" t="s">
        <v>285</v>
      </c>
      <c r="C76">
        <v>0</v>
      </c>
    </row>
    <row r="77" spans="2:3" x14ac:dyDescent="0.25">
      <c r="B77" t="s">
        <v>314</v>
      </c>
      <c r="C77" t="s">
        <v>392</v>
      </c>
    </row>
    <row r="78" spans="2:3" x14ac:dyDescent="0.25">
      <c r="C78" t="s">
        <v>342</v>
      </c>
    </row>
    <row r="79" spans="2:3" x14ac:dyDescent="0.25">
      <c r="C79">
        <v>49879</v>
      </c>
    </row>
    <row r="80" spans="2:3" x14ac:dyDescent="0.25">
      <c r="C80" t="s">
        <v>393</v>
      </c>
    </row>
    <row r="81" spans="3:3" x14ac:dyDescent="0.25">
      <c r="C81" t="s">
        <v>394</v>
      </c>
    </row>
    <row r="82" spans="3:3" x14ac:dyDescent="0.25">
      <c r="C82">
        <v>0</v>
      </c>
    </row>
    <row r="83" spans="3:3" x14ac:dyDescent="0.25">
      <c r="C83" t="s">
        <v>395</v>
      </c>
    </row>
    <row r="84" spans="3:3" x14ac:dyDescent="0.25">
      <c r="C84" t="s">
        <v>396</v>
      </c>
    </row>
    <row r="85" spans="3:3" x14ac:dyDescent="0.25">
      <c r="C85">
        <v>0</v>
      </c>
    </row>
    <row r="86" spans="3:3" x14ac:dyDescent="0.25">
      <c r="C86" t="s">
        <v>397</v>
      </c>
    </row>
    <row r="87" spans="3:3" x14ac:dyDescent="0.25">
      <c r="C87" t="s">
        <v>398</v>
      </c>
    </row>
    <row r="88" spans="3:3" x14ac:dyDescent="0.25">
      <c r="C88">
        <v>101247</v>
      </c>
    </row>
    <row r="89" spans="3:3" x14ac:dyDescent="0.25">
      <c r="C89" t="s">
        <v>399</v>
      </c>
    </row>
    <row r="90" spans="3:3" x14ac:dyDescent="0.25">
      <c r="C90" t="s">
        <v>400</v>
      </c>
    </row>
    <row r="91" spans="3:3" x14ac:dyDescent="0.25">
      <c r="C91">
        <v>5807</v>
      </c>
    </row>
    <row r="92" spans="3:3" x14ac:dyDescent="0.25">
      <c r="C92" t="s">
        <v>401</v>
      </c>
    </row>
    <row r="93" spans="3:3" x14ac:dyDescent="0.25">
      <c r="C93" t="s">
        <v>402</v>
      </c>
    </row>
    <row r="94" spans="3:3" x14ac:dyDescent="0.25">
      <c r="C94">
        <v>4167</v>
      </c>
    </row>
    <row r="95" spans="3:3" x14ac:dyDescent="0.25">
      <c r="C95" t="s">
        <v>403</v>
      </c>
    </row>
    <row r="96" spans="3:3" x14ac:dyDescent="0.25">
      <c r="C96" t="s">
        <v>404</v>
      </c>
    </row>
    <row r="97" spans="3:3" x14ac:dyDescent="0.25">
      <c r="C97">
        <v>0</v>
      </c>
    </row>
    <row r="98" spans="3:3" x14ac:dyDescent="0.25">
      <c r="C98" t="s">
        <v>405</v>
      </c>
    </row>
    <row r="99" spans="3:3" x14ac:dyDescent="0.25">
      <c r="C99" t="s">
        <v>406</v>
      </c>
    </row>
    <row r="100" spans="3:3" x14ac:dyDescent="0.25">
      <c r="C100">
        <v>433563</v>
      </c>
    </row>
    <row r="101" spans="3:3" x14ac:dyDescent="0.25">
      <c r="C101" t="s">
        <v>407</v>
      </c>
    </row>
    <row r="102" spans="3:3" x14ac:dyDescent="0.25">
      <c r="C102" t="s">
        <v>408</v>
      </c>
    </row>
    <row r="103" spans="3:3" x14ac:dyDescent="0.25">
      <c r="C103">
        <v>173036</v>
      </c>
    </row>
    <row r="104" spans="3:3" x14ac:dyDescent="0.25">
      <c r="C104" t="s">
        <v>409</v>
      </c>
    </row>
    <row r="105" spans="3:3" x14ac:dyDescent="0.25">
      <c r="C105" t="s">
        <v>410</v>
      </c>
    </row>
    <row r="106" spans="3:3" x14ac:dyDescent="0.25">
      <c r="C106">
        <v>9308</v>
      </c>
    </row>
    <row r="107" spans="3:3" x14ac:dyDescent="0.25">
      <c r="C107" t="s">
        <v>411</v>
      </c>
    </row>
    <row r="108" spans="3:3" x14ac:dyDescent="0.25">
      <c r="C108" t="s">
        <v>412</v>
      </c>
    </row>
    <row r="109" spans="3:3" x14ac:dyDescent="0.25">
      <c r="C109">
        <v>17960</v>
      </c>
    </row>
    <row r="110" spans="3:3" x14ac:dyDescent="0.25">
      <c r="C110" t="s">
        <v>413</v>
      </c>
    </row>
    <row r="111" spans="3:3" x14ac:dyDescent="0.25">
      <c r="C111" t="s">
        <v>414</v>
      </c>
    </row>
    <row r="112" spans="3:3" x14ac:dyDescent="0.25">
      <c r="C112">
        <v>16105</v>
      </c>
    </row>
    <row r="113" spans="3:3" x14ac:dyDescent="0.25">
      <c r="C113" t="s">
        <v>415</v>
      </c>
    </row>
    <row r="114" spans="3:3" x14ac:dyDescent="0.25">
      <c r="C114" t="s">
        <v>416</v>
      </c>
    </row>
    <row r="115" spans="3:3" x14ac:dyDescent="0.25">
      <c r="C115">
        <v>11069</v>
      </c>
    </row>
    <row r="116" spans="3:3" x14ac:dyDescent="0.25">
      <c r="C116" t="s">
        <v>417</v>
      </c>
    </row>
    <row r="117" spans="3:3" x14ac:dyDescent="0.25">
      <c r="C117" t="s">
        <v>418</v>
      </c>
    </row>
    <row r="118" spans="3:3" x14ac:dyDescent="0.25">
      <c r="C118">
        <v>0</v>
      </c>
    </row>
    <row r="119" spans="3:3" x14ac:dyDescent="0.25">
      <c r="C119" t="s">
        <v>419</v>
      </c>
    </row>
    <row r="120" spans="3:3" x14ac:dyDescent="0.25">
      <c r="C120" t="s">
        <v>420</v>
      </c>
    </row>
    <row r="121" spans="3:3" x14ac:dyDescent="0.25">
      <c r="C121">
        <v>48000</v>
      </c>
    </row>
    <row r="122" spans="3:3" x14ac:dyDescent="0.25">
      <c r="C122" t="s">
        <v>421</v>
      </c>
    </row>
    <row r="123" spans="3:3" x14ac:dyDescent="0.25">
      <c r="C123" t="s">
        <v>422</v>
      </c>
    </row>
    <row r="124" spans="3:3" x14ac:dyDescent="0.25">
      <c r="C124">
        <v>94118</v>
      </c>
    </row>
    <row r="125" spans="3:3" x14ac:dyDescent="0.25">
      <c r="C125" t="s">
        <v>423</v>
      </c>
    </row>
    <row r="126" spans="3:3" x14ac:dyDescent="0.25">
      <c r="C126" t="s">
        <v>424</v>
      </c>
    </row>
    <row r="127" spans="3:3" x14ac:dyDescent="0.25">
      <c r="C127">
        <v>5211</v>
      </c>
    </row>
    <row r="128" spans="3:3" x14ac:dyDescent="0.25">
      <c r="C128" t="s">
        <v>425</v>
      </c>
    </row>
    <row r="129" spans="3:3" x14ac:dyDescent="0.25">
      <c r="C129" t="s">
        <v>426</v>
      </c>
    </row>
    <row r="130" spans="3:3" x14ac:dyDescent="0.25">
      <c r="C130">
        <v>115661</v>
      </c>
    </row>
    <row r="131" spans="3:3" x14ac:dyDescent="0.25">
      <c r="C131" t="s">
        <v>427</v>
      </c>
    </row>
    <row r="132" spans="3:3" x14ac:dyDescent="0.25">
      <c r="C132" t="s">
        <v>428</v>
      </c>
    </row>
    <row r="133" spans="3:3" x14ac:dyDescent="0.25">
      <c r="C133">
        <v>0</v>
      </c>
    </row>
    <row r="134" spans="3:3" x14ac:dyDescent="0.25">
      <c r="C134" t="s">
        <v>429</v>
      </c>
    </row>
    <row r="135" spans="3:3" x14ac:dyDescent="0.25">
      <c r="C135" t="s">
        <v>313</v>
      </c>
    </row>
    <row r="136" spans="3:3" x14ac:dyDescent="0.25">
      <c r="C136" t="s">
        <v>285</v>
      </c>
    </row>
    <row r="137" spans="3:3" x14ac:dyDescent="0.25">
      <c r="C137" t="s">
        <v>314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4049D-859F-4C4C-8BCA-463C68C2BDED}">
  <dimension ref="A1:K113"/>
  <sheetViews>
    <sheetView zoomScale="115" zoomScaleNormal="115" workbookViewId="0">
      <pane ySplit="6" topLeftCell="A7" activePane="bottomLeft" state="frozen"/>
      <selection pane="bottomLeft" activeCell="A3" sqref="A3"/>
    </sheetView>
  </sheetViews>
  <sheetFormatPr defaultRowHeight="13.2" x14ac:dyDescent="0.25"/>
  <cols>
    <col min="1" max="1" width="10.109375" bestFit="1" customWidth="1"/>
    <col min="2" max="2" width="46.88671875" bestFit="1" customWidth="1"/>
    <col min="3" max="3" width="12.5546875" customWidth="1"/>
    <col min="4" max="4" width="9.5546875" bestFit="1" customWidth="1"/>
    <col min="5" max="5" width="11.88671875" customWidth="1"/>
    <col min="6" max="6" width="12.77734375" customWidth="1"/>
    <col min="7" max="7" width="10.77734375" customWidth="1"/>
  </cols>
  <sheetData>
    <row r="1" spans="1:11" x14ac:dyDescent="0.25">
      <c r="A1" t="s">
        <v>285</v>
      </c>
    </row>
    <row r="2" spans="1:11" x14ac:dyDescent="0.25">
      <c r="A2" t="s">
        <v>0</v>
      </c>
    </row>
    <row r="3" spans="1:11" x14ac:dyDescent="0.25">
      <c r="A3" s="175">
        <v>44926</v>
      </c>
    </row>
    <row r="5" spans="1:11" x14ac:dyDescent="0.25">
      <c r="A5" s="1" t="s">
        <v>50</v>
      </c>
      <c r="B5" s="1"/>
      <c r="C5" s="1"/>
      <c r="D5" s="1"/>
      <c r="E5" s="1"/>
      <c r="F5" s="1"/>
      <c r="G5" s="1"/>
      <c r="H5" s="1"/>
      <c r="I5" s="1"/>
      <c r="J5" s="1"/>
    </row>
    <row r="6" spans="1:11" ht="81.599999999999994" customHeight="1" x14ac:dyDescent="0.25">
      <c r="A6" s="6" t="s">
        <v>2</v>
      </c>
      <c r="B6" s="6" t="s">
        <v>3</v>
      </c>
      <c r="C6" s="6" t="s">
        <v>4</v>
      </c>
      <c r="D6" s="6" t="s">
        <v>5</v>
      </c>
      <c r="E6" s="6" t="s">
        <v>6</v>
      </c>
      <c r="F6" s="6" t="s">
        <v>7</v>
      </c>
      <c r="G6" s="6" t="s">
        <v>8</v>
      </c>
      <c r="H6" s="2"/>
      <c r="I6" s="2"/>
      <c r="J6" s="1"/>
    </row>
    <row r="7" spans="1:11" x14ac:dyDescent="0.25">
      <c r="A7" s="9">
        <v>2.1</v>
      </c>
      <c r="B7" s="10" t="s">
        <v>51</v>
      </c>
      <c r="C7" s="11">
        <v>214191</v>
      </c>
      <c r="D7" s="40">
        <f>354749-C7</f>
        <v>140558</v>
      </c>
      <c r="E7" s="11">
        <f>SUM(C7:D7)</f>
        <v>354749</v>
      </c>
      <c r="F7" s="40"/>
      <c r="G7" s="12">
        <f>E7-F7</f>
        <v>354749</v>
      </c>
      <c r="H7" s="5"/>
      <c r="I7" s="3"/>
      <c r="J7" s="3"/>
      <c r="K7" s="4"/>
    </row>
    <row r="8" spans="1:11" x14ac:dyDescent="0.25">
      <c r="A8" s="13">
        <v>2.2000000000000002</v>
      </c>
      <c r="B8" t="s">
        <v>52</v>
      </c>
      <c r="C8" s="14">
        <v>0</v>
      </c>
      <c r="D8" s="41">
        <v>48585</v>
      </c>
      <c r="E8" s="14">
        <f t="shared" ref="E8:E12" si="0">SUM(C8:D8)</f>
        <v>48585</v>
      </c>
      <c r="F8" s="41"/>
      <c r="G8" s="15">
        <f t="shared" ref="G8:G12" si="1">E8-F8</f>
        <v>48585</v>
      </c>
      <c r="H8" s="5"/>
      <c r="I8" s="3"/>
      <c r="J8" s="3"/>
      <c r="K8" s="4"/>
    </row>
    <row r="9" spans="1:11" x14ac:dyDescent="0.25">
      <c r="A9" s="13">
        <v>2.2999999999999998</v>
      </c>
      <c r="B9" t="s">
        <v>53</v>
      </c>
      <c r="C9" s="14">
        <v>0</v>
      </c>
      <c r="D9" s="41">
        <v>34570</v>
      </c>
      <c r="E9" s="14">
        <f t="shared" si="0"/>
        <v>34570</v>
      </c>
      <c r="F9" s="41"/>
      <c r="G9" s="15">
        <f t="shared" si="1"/>
        <v>34570</v>
      </c>
      <c r="H9" s="5"/>
      <c r="I9" s="4"/>
      <c r="J9" s="4"/>
      <c r="K9" s="4"/>
    </row>
    <row r="10" spans="1:11" x14ac:dyDescent="0.25">
      <c r="A10" s="13">
        <v>2.4</v>
      </c>
      <c r="B10" t="s">
        <v>54</v>
      </c>
      <c r="C10" s="14">
        <v>0</v>
      </c>
      <c r="D10" s="41">
        <v>21380</v>
      </c>
      <c r="E10" s="14">
        <f t="shared" si="0"/>
        <v>21380</v>
      </c>
      <c r="F10" s="41"/>
      <c r="G10" s="15">
        <f t="shared" si="1"/>
        <v>21380</v>
      </c>
      <c r="H10" s="5"/>
      <c r="I10" s="4"/>
      <c r="J10" s="4"/>
      <c r="K10" s="4"/>
    </row>
    <row r="11" spans="1:11" x14ac:dyDescent="0.25">
      <c r="A11" s="13">
        <v>2.5</v>
      </c>
      <c r="B11" t="s">
        <v>55</v>
      </c>
      <c r="C11" s="14"/>
      <c r="D11" s="41"/>
      <c r="E11" s="14">
        <f t="shared" si="0"/>
        <v>0</v>
      </c>
      <c r="F11" s="41"/>
      <c r="G11" s="15">
        <f t="shared" si="1"/>
        <v>0</v>
      </c>
      <c r="H11" s="5"/>
      <c r="I11" s="4"/>
      <c r="J11" s="4"/>
      <c r="K11" s="4"/>
    </row>
    <row r="12" spans="1:11" x14ac:dyDescent="0.25">
      <c r="A12" s="13">
        <v>2.6</v>
      </c>
      <c r="B12" t="s">
        <v>56</v>
      </c>
      <c r="C12" s="14"/>
      <c r="D12" s="41"/>
      <c r="E12" s="14">
        <f t="shared" si="0"/>
        <v>0</v>
      </c>
      <c r="F12" s="41"/>
      <c r="G12" s="15">
        <f t="shared" si="1"/>
        <v>0</v>
      </c>
      <c r="H12" s="5"/>
      <c r="I12" s="4"/>
      <c r="J12" s="4"/>
      <c r="K12" s="4"/>
    </row>
    <row r="13" spans="1:11" x14ac:dyDescent="0.25">
      <c r="A13" s="16" t="s">
        <v>57</v>
      </c>
      <c r="B13" s="1" t="s">
        <v>58</v>
      </c>
      <c r="C13" s="17">
        <f>SUM(C7:C12)</f>
        <v>214191</v>
      </c>
      <c r="D13" s="17">
        <f>SUM(D7:D12)</f>
        <v>245093</v>
      </c>
      <c r="E13" s="17">
        <f>SUM(E7:E12)</f>
        <v>459284</v>
      </c>
      <c r="F13" s="17">
        <f>SUM(F7:F12)</f>
        <v>0</v>
      </c>
      <c r="G13" s="18">
        <f>SUM(G7:G12)</f>
        <v>459284</v>
      </c>
      <c r="H13" s="5"/>
      <c r="I13" s="4"/>
      <c r="J13" s="4"/>
      <c r="K13" s="4"/>
    </row>
    <row r="14" spans="1:11" x14ac:dyDescent="0.25">
      <c r="A14" s="13"/>
      <c r="C14" s="14"/>
      <c r="D14" s="14"/>
      <c r="E14" s="14"/>
      <c r="F14" s="14"/>
      <c r="G14" s="15"/>
      <c r="H14" s="5"/>
      <c r="I14" s="4"/>
      <c r="J14" s="4"/>
      <c r="K14" s="4"/>
    </row>
    <row r="15" spans="1:11" x14ac:dyDescent="0.25">
      <c r="A15" s="13">
        <v>2.7</v>
      </c>
      <c r="B15" t="s">
        <v>60</v>
      </c>
      <c r="C15" s="14">
        <v>282786</v>
      </c>
      <c r="D15" s="41"/>
      <c r="E15" s="14">
        <f t="shared" ref="E15:E18" si="2">SUM(C15:D15)</f>
        <v>282786</v>
      </c>
      <c r="F15" s="41"/>
      <c r="G15" s="15">
        <f t="shared" ref="G15:G18" si="3">E15-F15</f>
        <v>282786</v>
      </c>
      <c r="H15" s="5"/>
      <c r="I15" s="4"/>
      <c r="J15" s="4"/>
      <c r="K15" s="4"/>
    </row>
    <row r="16" spans="1:11" x14ac:dyDescent="0.25">
      <c r="A16" s="13">
        <v>2.8</v>
      </c>
      <c r="B16" t="s">
        <v>61</v>
      </c>
      <c r="C16" s="14">
        <v>26477</v>
      </c>
      <c r="D16" s="41"/>
      <c r="E16" s="14">
        <f t="shared" si="2"/>
        <v>26477</v>
      </c>
      <c r="F16" s="41"/>
      <c r="G16" s="15">
        <f t="shared" si="3"/>
        <v>26477</v>
      </c>
      <c r="H16" s="5"/>
      <c r="I16" s="4"/>
      <c r="J16" s="4"/>
      <c r="K16" s="4"/>
    </row>
    <row r="17" spans="1:11" x14ac:dyDescent="0.25">
      <c r="A17" s="13">
        <v>2.9</v>
      </c>
      <c r="B17" t="s">
        <v>62</v>
      </c>
      <c r="C17" s="14">
        <v>22208</v>
      </c>
      <c r="D17" s="41"/>
      <c r="E17" s="14">
        <f t="shared" si="2"/>
        <v>22208</v>
      </c>
      <c r="F17" s="41"/>
      <c r="G17" s="15">
        <f t="shared" si="3"/>
        <v>22208</v>
      </c>
      <c r="H17" s="5"/>
      <c r="I17" s="4"/>
      <c r="J17" s="4"/>
      <c r="K17" s="4"/>
    </row>
    <row r="18" spans="1:11" x14ac:dyDescent="0.25">
      <c r="A18" s="19">
        <v>2.1</v>
      </c>
      <c r="B18" t="s">
        <v>63</v>
      </c>
      <c r="C18" s="14">
        <v>0</v>
      </c>
      <c r="D18" s="41">
        <v>1850</v>
      </c>
      <c r="E18" s="14">
        <f t="shared" si="2"/>
        <v>1850</v>
      </c>
      <c r="F18" s="41"/>
      <c r="G18" s="15">
        <f t="shared" si="3"/>
        <v>1850</v>
      </c>
      <c r="H18" s="5"/>
      <c r="I18" s="4"/>
      <c r="J18" s="4"/>
      <c r="K18" s="4"/>
    </row>
    <row r="19" spans="1:11" x14ac:dyDescent="0.25">
      <c r="A19" s="16" t="s">
        <v>59</v>
      </c>
      <c r="B19" s="1" t="s">
        <v>64</v>
      </c>
      <c r="C19" s="17">
        <f>SUM(C14:C18)</f>
        <v>331471</v>
      </c>
      <c r="D19" s="17">
        <f>SUM(D14:D18)</f>
        <v>1850</v>
      </c>
      <c r="E19" s="17">
        <f>SUM(E14:E18)</f>
        <v>333321</v>
      </c>
      <c r="F19" s="17">
        <f>SUM(F14:F18)</f>
        <v>0</v>
      </c>
      <c r="G19" s="18">
        <f>SUM(G14:G18)</f>
        <v>333321</v>
      </c>
      <c r="H19" s="5"/>
      <c r="I19" s="4"/>
      <c r="J19" s="4"/>
      <c r="K19" s="4"/>
    </row>
    <row r="20" spans="1:11" x14ac:dyDescent="0.25">
      <c r="A20" s="13"/>
      <c r="G20" s="20"/>
    </row>
    <row r="21" spans="1:11" x14ac:dyDescent="0.25">
      <c r="A21" s="13">
        <v>2.11</v>
      </c>
      <c r="B21" t="s">
        <v>65</v>
      </c>
      <c r="C21" s="21">
        <v>4701</v>
      </c>
      <c r="D21" s="34"/>
      <c r="E21" s="14">
        <f t="shared" ref="E21:E38" si="4">SUM(C21:D21)</f>
        <v>4701</v>
      </c>
      <c r="F21" s="34"/>
      <c r="G21" s="15">
        <f t="shared" ref="G21:G38" si="5">E21-F21</f>
        <v>4701</v>
      </c>
      <c r="H21" s="4"/>
      <c r="I21" s="4"/>
    </row>
    <row r="22" spans="1:11" x14ac:dyDescent="0.25">
      <c r="A22" s="13">
        <v>2.12</v>
      </c>
      <c r="B22" t="s">
        <v>66</v>
      </c>
      <c r="C22" s="21">
        <v>30877</v>
      </c>
      <c r="D22" s="34"/>
      <c r="E22" s="14">
        <f t="shared" si="4"/>
        <v>30877</v>
      </c>
      <c r="F22" s="34"/>
      <c r="G22" s="15">
        <f t="shared" si="5"/>
        <v>30877</v>
      </c>
      <c r="H22" s="4"/>
      <c r="I22" s="4"/>
    </row>
    <row r="23" spans="1:11" x14ac:dyDescent="0.25">
      <c r="A23" s="13">
        <v>2.13</v>
      </c>
      <c r="B23" t="s">
        <v>68</v>
      </c>
      <c r="C23" s="21">
        <v>29548</v>
      </c>
      <c r="D23" s="34"/>
      <c r="E23" s="14">
        <f t="shared" si="4"/>
        <v>29548</v>
      </c>
      <c r="F23" s="34"/>
      <c r="G23" s="15">
        <f t="shared" si="5"/>
        <v>29548</v>
      </c>
      <c r="H23" s="4"/>
      <c r="I23" s="4"/>
    </row>
    <row r="24" spans="1:11" x14ac:dyDescent="0.25">
      <c r="A24" s="13">
        <v>2.14</v>
      </c>
      <c r="B24" t="s">
        <v>67</v>
      </c>
      <c r="C24" s="21"/>
      <c r="D24" s="34"/>
      <c r="E24" s="14">
        <f t="shared" si="4"/>
        <v>0</v>
      </c>
      <c r="F24" s="34"/>
      <c r="G24" s="15">
        <f t="shared" si="5"/>
        <v>0</v>
      </c>
      <c r="H24" s="4"/>
      <c r="I24" s="4"/>
    </row>
    <row r="25" spans="1:11" x14ac:dyDescent="0.25">
      <c r="A25" s="13">
        <v>2.15</v>
      </c>
      <c r="B25" t="s">
        <v>69</v>
      </c>
      <c r="C25" s="21">
        <v>5850</v>
      </c>
      <c r="D25" s="34"/>
      <c r="E25" s="14">
        <f t="shared" ref="E25:E37" si="6">SUM(C25:D25)</f>
        <v>5850</v>
      </c>
      <c r="F25" s="34"/>
      <c r="G25" s="15">
        <f t="shared" ref="G25:G37" si="7">E25-F25</f>
        <v>5850</v>
      </c>
      <c r="H25" s="4"/>
      <c r="I25" s="4"/>
    </row>
    <row r="26" spans="1:11" x14ac:dyDescent="0.25">
      <c r="A26" s="13">
        <v>2.16</v>
      </c>
      <c r="B26" t="s">
        <v>70</v>
      </c>
      <c r="C26" s="21">
        <v>103976</v>
      </c>
      <c r="D26" s="34"/>
      <c r="E26" s="14">
        <f t="shared" si="6"/>
        <v>103976</v>
      </c>
      <c r="F26" s="34"/>
      <c r="G26" s="15">
        <f t="shared" si="7"/>
        <v>103976</v>
      </c>
      <c r="H26" s="4"/>
      <c r="I26" s="4"/>
    </row>
    <row r="27" spans="1:11" x14ac:dyDescent="0.25">
      <c r="A27" s="13">
        <v>2.17</v>
      </c>
      <c r="B27" t="s">
        <v>71</v>
      </c>
      <c r="C27" s="21">
        <v>36597</v>
      </c>
      <c r="D27" s="34"/>
      <c r="E27" s="14">
        <f t="shared" si="6"/>
        <v>36597</v>
      </c>
      <c r="F27" s="34"/>
      <c r="G27" s="15">
        <f t="shared" si="7"/>
        <v>36597</v>
      </c>
      <c r="H27" s="4"/>
      <c r="I27" s="4"/>
    </row>
    <row r="28" spans="1:11" x14ac:dyDescent="0.25">
      <c r="A28" s="13">
        <v>2.1800000000000002</v>
      </c>
      <c r="B28" t="s">
        <v>72</v>
      </c>
      <c r="C28" s="21">
        <v>8716</v>
      </c>
      <c r="D28" s="34"/>
      <c r="E28" s="14">
        <f t="shared" si="6"/>
        <v>8716</v>
      </c>
      <c r="F28" s="34"/>
      <c r="G28" s="15">
        <f t="shared" si="7"/>
        <v>8716</v>
      </c>
      <c r="H28" s="4"/>
      <c r="I28" s="4"/>
    </row>
    <row r="29" spans="1:11" x14ac:dyDescent="0.25">
      <c r="A29" s="13">
        <v>2.19</v>
      </c>
      <c r="B29" t="s">
        <v>73</v>
      </c>
      <c r="C29" s="21">
        <v>0</v>
      </c>
      <c r="D29" s="34"/>
      <c r="E29" s="14">
        <f t="shared" si="6"/>
        <v>0</v>
      </c>
      <c r="F29" s="34"/>
      <c r="G29" s="15">
        <f t="shared" si="7"/>
        <v>0</v>
      </c>
      <c r="H29" s="4"/>
      <c r="I29" s="4"/>
    </row>
    <row r="30" spans="1:11" x14ac:dyDescent="0.25">
      <c r="A30" s="19">
        <v>2.2000000000000002</v>
      </c>
      <c r="B30" t="s">
        <v>74</v>
      </c>
      <c r="C30" s="21">
        <v>0</v>
      </c>
      <c r="D30" s="34"/>
      <c r="E30" s="14">
        <f t="shared" si="6"/>
        <v>0</v>
      </c>
      <c r="F30" s="34"/>
      <c r="G30" s="15">
        <f t="shared" si="7"/>
        <v>0</v>
      </c>
      <c r="H30" s="4"/>
      <c r="I30" s="4"/>
    </row>
    <row r="31" spans="1:11" x14ac:dyDescent="0.25">
      <c r="A31" s="13">
        <v>2.21</v>
      </c>
      <c r="B31" t="s">
        <v>75</v>
      </c>
      <c r="C31" s="21"/>
      <c r="D31" s="34"/>
      <c r="E31" s="14">
        <f t="shared" si="6"/>
        <v>0</v>
      </c>
      <c r="F31" s="34"/>
      <c r="G31" s="15">
        <f t="shared" si="7"/>
        <v>0</v>
      </c>
      <c r="H31" s="4"/>
      <c r="I31" s="4"/>
    </row>
    <row r="32" spans="1:11" x14ac:dyDescent="0.25">
      <c r="A32" s="13">
        <v>2.2200000000000002</v>
      </c>
      <c r="B32" t="s">
        <v>76</v>
      </c>
      <c r="C32" s="21">
        <v>403057</v>
      </c>
      <c r="D32" s="34">
        <v>-90756</v>
      </c>
      <c r="E32" s="14">
        <f t="shared" si="6"/>
        <v>312301</v>
      </c>
      <c r="F32" s="34">
        <f>11301+64747</f>
        <v>76048</v>
      </c>
      <c r="G32" s="15">
        <f t="shared" si="7"/>
        <v>236253</v>
      </c>
      <c r="H32" s="4"/>
      <c r="I32" s="4"/>
    </row>
    <row r="33" spans="1:9" x14ac:dyDescent="0.25">
      <c r="A33" s="13">
        <v>2.23</v>
      </c>
      <c r="B33" t="s">
        <v>77</v>
      </c>
      <c r="C33" s="36">
        <f>C73</f>
        <v>32001371</v>
      </c>
      <c r="D33" s="34">
        <f>+D73</f>
        <v>-440794</v>
      </c>
      <c r="E33" s="14">
        <f t="shared" si="6"/>
        <v>31560577</v>
      </c>
      <c r="F33" s="34">
        <f>E33</f>
        <v>31560577</v>
      </c>
      <c r="G33" s="15">
        <f t="shared" si="7"/>
        <v>0</v>
      </c>
      <c r="H33" s="4" t="s">
        <v>731</v>
      </c>
      <c r="I33" s="4"/>
    </row>
    <row r="34" spans="1:9" x14ac:dyDescent="0.25">
      <c r="A34" s="13">
        <v>2.2400000000000002</v>
      </c>
      <c r="B34" t="s">
        <v>78</v>
      </c>
      <c r="C34" s="21"/>
      <c r="D34" s="34"/>
      <c r="E34" s="14">
        <f t="shared" si="6"/>
        <v>0</v>
      </c>
      <c r="F34" s="34"/>
      <c r="G34" s="15">
        <f t="shared" si="7"/>
        <v>0</v>
      </c>
      <c r="H34" s="4"/>
      <c r="I34" s="4"/>
    </row>
    <row r="35" spans="1:9" x14ac:dyDescent="0.25">
      <c r="A35" s="13">
        <v>2.25</v>
      </c>
      <c r="B35" t="s">
        <v>79</v>
      </c>
      <c r="C35" s="21"/>
      <c r="D35" s="34"/>
      <c r="E35" s="14">
        <f t="shared" si="6"/>
        <v>0</v>
      </c>
      <c r="F35" s="34"/>
      <c r="G35" s="15">
        <f t="shared" si="7"/>
        <v>0</v>
      </c>
      <c r="H35" s="4"/>
      <c r="I35" s="4"/>
    </row>
    <row r="36" spans="1:9" x14ac:dyDescent="0.25">
      <c r="A36" s="13">
        <v>2.2599999999999998</v>
      </c>
      <c r="B36" t="s">
        <v>80</v>
      </c>
      <c r="C36" s="21"/>
      <c r="D36" s="34"/>
      <c r="E36" s="14">
        <f t="shared" si="6"/>
        <v>0</v>
      </c>
      <c r="F36" s="34"/>
      <c r="G36" s="15">
        <f t="shared" si="7"/>
        <v>0</v>
      </c>
      <c r="H36" s="4"/>
      <c r="I36" s="4"/>
    </row>
    <row r="37" spans="1:9" x14ac:dyDescent="0.25">
      <c r="A37" s="13">
        <v>2.27</v>
      </c>
      <c r="C37" s="21"/>
      <c r="D37" s="34"/>
      <c r="E37" s="14">
        <f t="shared" si="6"/>
        <v>0</v>
      </c>
      <c r="F37" s="34"/>
      <c r="G37" s="15">
        <f t="shared" si="7"/>
        <v>0</v>
      </c>
      <c r="H37" s="4"/>
      <c r="I37" s="4"/>
    </row>
    <row r="38" spans="1:9" x14ac:dyDescent="0.25">
      <c r="A38" s="13">
        <v>2.2799999999999998</v>
      </c>
      <c r="C38" s="21"/>
      <c r="D38" s="34"/>
      <c r="E38" s="14">
        <f t="shared" si="4"/>
        <v>0</v>
      </c>
      <c r="F38" s="34"/>
      <c r="G38" s="15">
        <f t="shared" si="5"/>
        <v>0</v>
      </c>
      <c r="H38" s="4"/>
      <c r="I38" s="4"/>
    </row>
    <row r="39" spans="1:9" x14ac:dyDescent="0.25">
      <c r="A39" s="29" t="s">
        <v>81</v>
      </c>
      <c r="B39" s="1" t="s">
        <v>82</v>
      </c>
      <c r="C39" s="17">
        <f>SUM(C21:C38)</f>
        <v>32624693</v>
      </c>
      <c r="D39" s="17">
        <f t="shared" ref="D39:G39" si="8">SUM(D21:D38)</f>
        <v>-531550</v>
      </c>
      <c r="E39" s="17">
        <f t="shared" si="8"/>
        <v>32093143</v>
      </c>
      <c r="F39" s="17">
        <f t="shared" si="8"/>
        <v>31636625</v>
      </c>
      <c r="G39" s="18">
        <f t="shared" si="8"/>
        <v>456518</v>
      </c>
      <c r="H39" s="4"/>
      <c r="I39" s="4"/>
    </row>
    <row r="40" spans="1:9" x14ac:dyDescent="0.25">
      <c r="A40" s="29" t="s">
        <v>83</v>
      </c>
      <c r="B40" s="1" t="s">
        <v>84</v>
      </c>
      <c r="C40" s="17">
        <f>C39+C19+C13</f>
        <v>33170355</v>
      </c>
      <c r="D40" s="17">
        <f>D39+D19+D13</f>
        <v>-284607</v>
      </c>
      <c r="E40" s="17">
        <f>E39+E19+E13</f>
        <v>32885748</v>
      </c>
      <c r="F40" s="17">
        <f>F39+F19+F13</f>
        <v>31636625</v>
      </c>
      <c r="G40" s="17">
        <f>G39+G19+G13</f>
        <v>1249123</v>
      </c>
      <c r="H40" s="28"/>
      <c r="I40" s="4"/>
    </row>
    <row r="41" spans="1:9" x14ac:dyDescent="0.25">
      <c r="A41" s="16"/>
      <c r="B41" s="1"/>
      <c r="C41" s="17"/>
      <c r="D41" s="17"/>
      <c r="E41" s="17"/>
      <c r="F41" s="17"/>
      <c r="G41" s="17"/>
      <c r="H41" s="28"/>
      <c r="I41" s="4"/>
    </row>
    <row r="42" spans="1:9" x14ac:dyDescent="0.25">
      <c r="A42" s="13" t="s">
        <v>85</v>
      </c>
      <c r="C42" s="21"/>
      <c r="D42" s="21"/>
      <c r="E42" s="21"/>
      <c r="F42" s="21"/>
      <c r="G42" s="22"/>
      <c r="H42" s="4"/>
      <c r="I42" s="4"/>
    </row>
    <row r="43" spans="1:9" x14ac:dyDescent="0.25">
      <c r="A43" s="13">
        <v>2.29</v>
      </c>
      <c r="B43" t="s">
        <v>86</v>
      </c>
      <c r="C43" s="21"/>
      <c r="D43" s="34"/>
      <c r="E43" s="14">
        <f t="shared" ref="E43" si="9">SUM(C43:D43)</f>
        <v>0</v>
      </c>
      <c r="F43" s="34"/>
      <c r="G43" s="15">
        <f t="shared" ref="G43" si="10">E43-F43</f>
        <v>0</v>
      </c>
      <c r="H43" s="4"/>
      <c r="I43" s="4"/>
    </row>
    <row r="44" spans="1:9" x14ac:dyDescent="0.25">
      <c r="A44" s="29" t="s">
        <v>87</v>
      </c>
      <c r="B44" s="1" t="s">
        <v>88</v>
      </c>
      <c r="C44" s="17">
        <f>SUM(C43:C43)</f>
        <v>0</v>
      </c>
      <c r="D44" s="17">
        <f>SUM(D43:D43)</f>
        <v>0</v>
      </c>
      <c r="E44" s="17">
        <f>SUM(E43:E43)</f>
        <v>0</v>
      </c>
      <c r="F44" s="17">
        <f>SUM(F43:F43)</f>
        <v>0</v>
      </c>
      <c r="G44" s="18">
        <f>SUM(G43:G43)</f>
        <v>0</v>
      </c>
      <c r="H44" s="4"/>
      <c r="I44" s="4"/>
    </row>
    <row r="45" spans="1:9" x14ac:dyDescent="0.25">
      <c r="A45" s="16">
        <v>200</v>
      </c>
      <c r="B45" s="1" t="s">
        <v>89</v>
      </c>
      <c r="C45" s="17">
        <f>C40-C44</f>
        <v>33170355</v>
      </c>
      <c r="D45" s="17">
        <f>D40-D44</f>
        <v>-284607</v>
      </c>
      <c r="E45" s="17">
        <f>E40-E44</f>
        <v>32885748</v>
      </c>
      <c r="F45" s="17">
        <f>F40-F44</f>
        <v>31636625</v>
      </c>
      <c r="G45" s="17">
        <f>G40-G44</f>
        <v>1249123</v>
      </c>
      <c r="H45" s="28"/>
      <c r="I45" s="4"/>
    </row>
    <row r="46" spans="1:9" x14ac:dyDescent="0.25">
      <c r="A46" s="13"/>
      <c r="C46" s="21"/>
      <c r="D46" s="21"/>
      <c r="E46" s="21"/>
      <c r="F46" s="21"/>
      <c r="G46" s="22"/>
      <c r="H46" s="4"/>
      <c r="I46" s="4"/>
    </row>
    <row r="47" spans="1:9" x14ac:dyDescent="0.25">
      <c r="A47" s="24"/>
      <c r="B47" s="25"/>
      <c r="C47" s="26"/>
      <c r="D47" s="26"/>
      <c r="E47" s="26"/>
      <c r="F47" s="26"/>
      <c r="G47" s="27"/>
      <c r="H47" s="1"/>
    </row>
    <row r="48" spans="1:9" x14ac:dyDescent="0.25">
      <c r="A48" s="1"/>
    </row>
    <row r="49" spans="1:5" x14ac:dyDescent="0.25">
      <c r="A49" s="1" t="s">
        <v>90</v>
      </c>
    </row>
    <row r="50" spans="1:5" x14ac:dyDescent="0.25">
      <c r="A50" s="1" t="s">
        <v>2</v>
      </c>
      <c r="B50" s="1" t="s">
        <v>3</v>
      </c>
      <c r="C50" s="1" t="s">
        <v>91</v>
      </c>
    </row>
    <row r="51" spans="1:5" x14ac:dyDescent="0.25">
      <c r="A51" s="1" t="s">
        <v>92</v>
      </c>
      <c r="B51" t="s">
        <v>93</v>
      </c>
      <c r="C51" s="35">
        <v>247415</v>
      </c>
    </row>
    <row r="52" spans="1:5" x14ac:dyDescent="0.25">
      <c r="A52" s="1" t="s">
        <v>94</v>
      </c>
      <c r="B52" s="1" t="s">
        <v>95</v>
      </c>
      <c r="C52" s="8">
        <f>C51</f>
        <v>247415</v>
      </c>
    </row>
    <row r="53" spans="1:5" x14ac:dyDescent="0.25">
      <c r="A53" s="1"/>
      <c r="B53" s="1"/>
      <c r="C53" s="8"/>
    </row>
    <row r="54" spans="1:5" x14ac:dyDescent="0.25">
      <c r="A54" s="1" t="s">
        <v>120</v>
      </c>
    </row>
    <row r="55" spans="1:5" x14ac:dyDescent="0.25">
      <c r="A55" s="1" t="s">
        <v>96</v>
      </c>
    </row>
    <row r="56" spans="1:5" x14ac:dyDescent="0.25">
      <c r="A56" s="1" t="s">
        <v>97</v>
      </c>
    </row>
    <row r="57" spans="1:5" x14ac:dyDescent="0.25">
      <c r="A57" s="1" t="s">
        <v>98</v>
      </c>
    </row>
    <row r="58" spans="1:5" x14ac:dyDescent="0.25">
      <c r="A58" s="1" t="s">
        <v>99</v>
      </c>
    </row>
    <row r="59" spans="1:5" x14ac:dyDescent="0.25">
      <c r="A59" s="1" t="s">
        <v>100</v>
      </c>
    </row>
    <row r="60" spans="1:5" x14ac:dyDescent="0.25">
      <c r="A60" s="1" t="s">
        <v>101</v>
      </c>
      <c r="B60" t="s">
        <v>115</v>
      </c>
      <c r="C60" s="4">
        <v>9047</v>
      </c>
      <c r="E60" s="7">
        <f>+C60+D60</f>
        <v>9047</v>
      </c>
    </row>
    <row r="61" spans="1:5" x14ac:dyDescent="0.25">
      <c r="A61" s="1" t="s">
        <v>102</v>
      </c>
    </row>
    <row r="62" spans="1:5" x14ac:dyDescent="0.25">
      <c r="A62" s="1" t="s">
        <v>103</v>
      </c>
    </row>
    <row r="63" spans="1:5" x14ac:dyDescent="0.25">
      <c r="A63" s="1" t="s">
        <v>104</v>
      </c>
      <c r="B63" t="s">
        <v>116</v>
      </c>
      <c r="C63" s="4">
        <v>878729</v>
      </c>
      <c r="D63" s="4">
        <f>-754248-6120</f>
        <v>-760368</v>
      </c>
      <c r="E63" s="7">
        <f>+C63+D63</f>
        <v>118361</v>
      </c>
    </row>
    <row r="64" spans="1:5" x14ac:dyDescent="0.25">
      <c r="A64" s="1" t="s">
        <v>105</v>
      </c>
    </row>
    <row r="65" spans="1:6" x14ac:dyDescent="0.25">
      <c r="A65" s="1" t="s">
        <v>106</v>
      </c>
    </row>
    <row r="66" spans="1:6" x14ac:dyDescent="0.25">
      <c r="A66" s="1" t="s">
        <v>107</v>
      </c>
    </row>
    <row r="67" spans="1:6" x14ac:dyDescent="0.25">
      <c r="A67" s="1" t="s">
        <v>108</v>
      </c>
    </row>
    <row r="68" spans="1:6" x14ac:dyDescent="0.25">
      <c r="A68" s="1" t="s">
        <v>109</v>
      </c>
      <c r="B68" t="s">
        <v>117</v>
      </c>
      <c r="C68" s="37">
        <v>59663</v>
      </c>
      <c r="E68" s="7">
        <f>+C68+D68</f>
        <v>59663</v>
      </c>
    </row>
    <row r="69" spans="1:6" x14ac:dyDescent="0.25">
      <c r="A69" s="1" t="s">
        <v>110</v>
      </c>
      <c r="B69" t="s">
        <v>118</v>
      </c>
      <c r="C69" s="37">
        <v>44268</v>
      </c>
      <c r="E69" s="7">
        <f>+C69+D69</f>
        <v>44268</v>
      </c>
    </row>
    <row r="70" spans="1:6" x14ac:dyDescent="0.25">
      <c r="A70" s="1" t="s">
        <v>111</v>
      </c>
      <c r="B70" t="s">
        <v>119</v>
      </c>
      <c r="C70" s="37">
        <v>31009664</v>
      </c>
      <c r="D70" s="34">
        <f>356316-36742</f>
        <v>319574</v>
      </c>
      <c r="E70" s="7">
        <f>+C70+D70</f>
        <v>31329238</v>
      </c>
    </row>
    <row r="71" spans="1:6" x14ac:dyDescent="0.25">
      <c r="A71" s="1" t="s">
        <v>112</v>
      </c>
    </row>
    <row r="72" spans="1:6" x14ac:dyDescent="0.25">
      <c r="A72" s="1" t="s">
        <v>113</v>
      </c>
    </row>
    <row r="73" spans="1:6" x14ac:dyDescent="0.25">
      <c r="A73" s="1" t="s">
        <v>114</v>
      </c>
      <c r="C73" s="3">
        <f>SUM(C55:C72)</f>
        <v>32001371</v>
      </c>
      <c r="D73" s="3">
        <f>SUM(D55:D72)</f>
        <v>-440794</v>
      </c>
      <c r="E73" s="3">
        <f>SUM(E55:E72)</f>
        <v>31560577</v>
      </c>
    </row>
    <row r="74" spans="1:6" x14ac:dyDescent="0.25">
      <c r="A74" s="1"/>
    </row>
    <row r="75" spans="1:6" x14ac:dyDescent="0.25">
      <c r="A75" s="1"/>
      <c r="E75" s="7">
        <f>SUM(E55:E69)</f>
        <v>231339</v>
      </c>
      <c r="F75" t="s">
        <v>283</v>
      </c>
    </row>
    <row r="76" spans="1:6" x14ac:dyDescent="0.25">
      <c r="A76" s="1"/>
      <c r="E76" s="7">
        <f>+E70</f>
        <v>31329238</v>
      </c>
      <c r="F76" t="s">
        <v>284</v>
      </c>
    </row>
    <row r="77" spans="1:6" x14ac:dyDescent="0.25">
      <c r="A77" s="1"/>
    </row>
    <row r="78" spans="1:6" x14ac:dyDescent="0.25">
      <c r="A78" s="1"/>
    </row>
    <row r="79" spans="1:6" x14ac:dyDescent="0.25">
      <c r="A79" s="1"/>
    </row>
    <row r="80" spans="1:6"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row r="87" spans="1:1" x14ac:dyDescent="0.25">
      <c r="A87" s="1"/>
    </row>
    <row r="88" spans="1:1" x14ac:dyDescent="0.25">
      <c r="A88" s="1"/>
    </row>
    <row r="89" spans="1:1" x14ac:dyDescent="0.25">
      <c r="A89" s="1"/>
    </row>
    <row r="90" spans="1:1" x14ac:dyDescent="0.25">
      <c r="A90" s="1"/>
    </row>
    <row r="91" spans="1:1" x14ac:dyDescent="0.25">
      <c r="A91" s="1"/>
    </row>
    <row r="92" spans="1:1" x14ac:dyDescent="0.25">
      <c r="A92" s="1"/>
    </row>
    <row r="93" spans="1:1" x14ac:dyDescent="0.25">
      <c r="A93" s="1"/>
    </row>
    <row r="94" spans="1:1" x14ac:dyDescent="0.25">
      <c r="A94" s="1"/>
    </row>
    <row r="95" spans="1:1" x14ac:dyDescent="0.25">
      <c r="A95" s="1"/>
    </row>
    <row r="96" spans="1:1" x14ac:dyDescent="0.25">
      <c r="A96" s="1"/>
    </row>
    <row r="97" spans="1:1" x14ac:dyDescent="0.25">
      <c r="A97" s="1"/>
    </row>
    <row r="98" spans="1:1" x14ac:dyDescent="0.25">
      <c r="A98" s="1"/>
    </row>
    <row r="99" spans="1:1" x14ac:dyDescent="0.25">
      <c r="A99" s="1"/>
    </row>
    <row r="100" spans="1:1" x14ac:dyDescent="0.25">
      <c r="A100" s="1"/>
    </row>
    <row r="101" spans="1:1" x14ac:dyDescent="0.25">
      <c r="A101" s="1"/>
    </row>
    <row r="102" spans="1:1" x14ac:dyDescent="0.25">
      <c r="A102" s="1"/>
    </row>
    <row r="103" spans="1:1" x14ac:dyDescent="0.25">
      <c r="A103" s="1"/>
    </row>
    <row r="104" spans="1:1" x14ac:dyDescent="0.25">
      <c r="A104" s="1"/>
    </row>
    <row r="105" spans="1:1" x14ac:dyDescent="0.25">
      <c r="A105" s="1"/>
    </row>
    <row r="106" spans="1:1" x14ac:dyDescent="0.25">
      <c r="A106" s="1"/>
    </row>
    <row r="107" spans="1:1" x14ac:dyDescent="0.25">
      <c r="A107" s="1"/>
    </row>
    <row r="108" spans="1:1" x14ac:dyDescent="0.25">
      <c r="A108" s="1"/>
    </row>
    <row r="109" spans="1:1" x14ac:dyDescent="0.25">
      <c r="A109" s="1"/>
    </row>
    <row r="110" spans="1:1" x14ac:dyDescent="0.25">
      <c r="A110" s="1"/>
    </row>
    <row r="111" spans="1:1" x14ac:dyDescent="0.25">
      <c r="A111" s="1"/>
    </row>
    <row r="112" spans="1:1" x14ac:dyDescent="0.25">
      <c r="A112" s="1"/>
    </row>
    <row r="113" spans="1:1" x14ac:dyDescent="0.25">
      <c r="A113" s="1"/>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0BD39-7B91-43C0-B319-0306D9AF9D02}">
  <dimension ref="A1:K207"/>
  <sheetViews>
    <sheetView zoomScale="115" zoomScaleNormal="115" workbookViewId="0">
      <pane ySplit="6" topLeftCell="A82" activePane="bottomLeft" state="frozen"/>
      <selection pane="bottomLeft" activeCell="A3" sqref="A3"/>
    </sheetView>
  </sheetViews>
  <sheetFormatPr defaultRowHeight="13.2" x14ac:dyDescent="0.25"/>
  <cols>
    <col min="1" max="1" width="10.109375" bestFit="1" customWidth="1"/>
    <col min="2" max="2" width="46.88671875" bestFit="1" customWidth="1"/>
    <col min="3" max="3" width="12.5546875" customWidth="1"/>
    <col min="4" max="4" width="9.5546875" bestFit="1" customWidth="1"/>
    <col min="5" max="5" width="10.44140625" bestFit="1" customWidth="1"/>
    <col min="6" max="6" width="12.77734375" customWidth="1"/>
    <col min="7" max="7" width="10.44140625" bestFit="1" customWidth="1"/>
  </cols>
  <sheetData>
    <row r="1" spans="1:11" x14ac:dyDescent="0.25">
      <c r="A1" t="s">
        <v>285</v>
      </c>
    </row>
    <row r="2" spans="1:11" x14ac:dyDescent="0.25">
      <c r="A2" t="s">
        <v>0</v>
      </c>
    </row>
    <row r="3" spans="1:11" x14ac:dyDescent="0.25">
      <c r="A3" s="175">
        <v>44926</v>
      </c>
    </row>
    <row r="5" spans="1:11" x14ac:dyDescent="0.25">
      <c r="A5" s="1" t="s">
        <v>121</v>
      </c>
      <c r="B5" s="1"/>
      <c r="C5" s="1"/>
      <c r="D5" s="1"/>
      <c r="E5" s="1"/>
      <c r="F5" s="1"/>
      <c r="G5" s="1"/>
      <c r="H5" s="1"/>
      <c r="I5" s="1"/>
      <c r="J5" s="1"/>
    </row>
    <row r="6" spans="1:11" ht="81.599999999999994" customHeight="1" x14ac:dyDescent="0.25">
      <c r="A6" s="6" t="s">
        <v>2</v>
      </c>
      <c r="B6" s="6" t="s">
        <v>3</v>
      </c>
      <c r="C6" s="6" t="s">
        <v>4</v>
      </c>
      <c r="D6" s="6" t="s">
        <v>5</v>
      </c>
      <c r="E6" s="6" t="s">
        <v>6</v>
      </c>
      <c r="F6" s="6" t="s">
        <v>7</v>
      </c>
      <c r="G6" s="6" t="s">
        <v>8</v>
      </c>
      <c r="H6" s="2"/>
      <c r="I6" s="2"/>
      <c r="J6" s="1"/>
    </row>
    <row r="7" spans="1:11" x14ac:dyDescent="0.25">
      <c r="A7" s="9">
        <v>3.1</v>
      </c>
      <c r="B7" s="10" t="s">
        <v>123</v>
      </c>
      <c r="C7" s="11"/>
      <c r="D7" s="40">
        <v>102367</v>
      </c>
      <c r="E7" s="11">
        <f>SUM(C7:D7)</f>
        <v>102367</v>
      </c>
      <c r="F7" s="40"/>
      <c r="G7" s="12">
        <f>E7-F7</f>
        <v>102367</v>
      </c>
      <c r="H7" s="5"/>
      <c r="I7" s="3"/>
      <c r="J7" s="3"/>
      <c r="K7" s="4"/>
    </row>
    <row r="8" spans="1:11" x14ac:dyDescent="0.25">
      <c r="A8" s="13">
        <v>3.2</v>
      </c>
      <c r="B8" t="s">
        <v>124</v>
      </c>
      <c r="C8" s="14"/>
      <c r="D8" s="41">
        <v>14020</v>
      </c>
      <c r="E8" s="14">
        <f t="shared" ref="E8:E10" si="0">SUM(C8:D8)</f>
        <v>14020</v>
      </c>
      <c r="F8" s="41"/>
      <c r="G8" s="15">
        <f t="shared" ref="G8:G10" si="1">E8-F8</f>
        <v>14020</v>
      </c>
      <c r="H8" s="5"/>
      <c r="I8" s="3"/>
      <c r="J8" s="3"/>
      <c r="K8" s="4"/>
    </row>
    <row r="9" spans="1:11" x14ac:dyDescent="0.25">
      <c r="A9" s="13">
        <v>3.3</v>
      </c>
      <c r="B9" t="s">
        <v>125</v>
      </c>
      <c r="C9" s="14"/>
      <c r="D9" s="41">
        <v>9975</v>
      </c>
      <c r="E9" s="14">
        <f t="shared" si="0"/>
        <v>9975</v>
      </c>
      <c r="F9" s="41"/>
      <c r="G9" s="15">
        <f t="shared" si="1"/>
        <v>9975</v>
      </c>
      <c r="H9" s="5"/>
      <c r="I9" s="4"/>
      <c r="J9" s="4"/>
      <c r="K9" s="4"/>
    </row>
    <row r="10" spans="1:11" x14ac:dyDescent="0.25">
      <c r="A10" s="30">
        <v>3.4</v>
      </c>
      <c r="B10" t="s">
        <v>130</v>
      </c>
      <c r="C10" s="14"/>
      <c r="D10" s="41"/>
      <c r="E10" s="14">
        <f t="shared" si="0"/>
        <v>0</v>
      </c>
      <c r="F10" s="41"/>
      <c r="G10" s="15">
        <f t="shared" si="1"/>
        <v>0</v>
      </c>
      <c r="H10" s="5"/>
      <c r="I10" s="4"/>
      <c r="J10" s="4"/>
      <c r="K10" s="4"/>
    </row>
    <row r="11" spans="1:11" x14ac:dyDescent="0.25">
      <c r="A11" s="29" t="s">
        <v>122</v>
      </c>
      <c r="B11" s="1" t="s">
        <v>126</v>
      </c>
      <c r="C11" s="17">
        <f>SUM(C7:C10)</f>
        <v>0</v>
      </c>
      <c r="D11" s="17">
        <f>SUM(D7:D10)</f>
        <v>126362</v>
      </c>
      <c r="E11" s="17">
        <f>SUM(E7:E10)</f>
        <v>126362</v>
      </c>
      <c r="F11" s="17">
        <f>SUM(F7:F10)</f>
        <v>0</v>
      </c>
      <c r="G11" s="18">
        <f>SUM(G7:G10)</f>
        <v>126362</v>
      </c>
      <c r="H11" s="5"/>
      <c r="I11" s="4"/>
      <c r="J11" s="4"/>
      <c r="K11" s="4"/>
    </row>
    <row r="12" spans="1:11" x14ac:dyDescent="0.25">
      <c r="A12" s="30"/>
      <c r="C12" s="14"/>
      <c r="D12" s="14"/>
      <c r="E12" s="14"/>
      <c r="F12" s="14"/>
      <c r="G12" s="15"/>
      <c r="H12" s="5"/>
      <c r="I12" s="4"/>
      <c r="J12" s="4"/>
      <c r="K12" s="4"/>
    </row>
    <row r="13" spans="1:11" x14ac:dyDescent="0.25">
      <c r="A13" s="30">
        <v>3.5</v>
      </c>
      <c r="B13" t="s">
        <v>127</v>
      </c>
      <c r="C13" s="14">
        <v>309215</v>
      </c>
      <c r="D13" s="41"/>
      <c r="E13" s="14">
        <f t="shared" ref="E13:E20" si="2">SUM(C13:D13)</f>
        <v>309215</v>
      </c>
      <c r="F13" s="41"/>
      <c r="G13" s="15">
        <f t="shared" ref="G13:G20" si="3">E13-F13</f>
        <v>309215</v>
      </c>
      <c r="H13" s="5"/>
      <c r="I13" s="4"/>
      <c r="J13" s="4"/>
      <c r="K13" s="4"/>
    </row>
    <row r="14" spans="1:11" x14ac:dyDescent="0.25">
      <c r="A14" s="30">
        <v>3.6</v>
      </c>
      <c r="B14" t="s">
        <v>128</v>
      </c>
      <c r="C14" s="14">
        <v>36699</v>
      </c>
      <c r="D14" s="41"/>
      <c r="E14" s="14">
        <f t="shared" si="2"/>
        <v>36699</v>
      </c>
      <c r="F14" s="41"/>
      <c r="G14" s="15">
        <f t="shared" si="3"/>
        <v>36699</v>
      </c>
      <c r="H14" s="5"/>
      <c r="I14" s="4"/>
      <c r="J14" s="4"/>
      <c r="K14" s="4"/>
    </row>
    <row r="15" spans="1:11" x14ac:dyDescent="0.25">
      <c r="A15" s="30">
        <v>3.7</v>
      </c>
      <c r="B15" t="s">
        <v>129</v>
      </c>
      <c r="C15" s="14">
        <v>29513</v>
      </c>
      <c r="D15" s="41"/>
      <c r="E15" s="14">
        <f t="shared" si="2"/>
        <v>29513</v>
      </c>
      <c r="F15" s="41"/>
      <c r="G15" s="15">
        <f t="shared" si="3"/>
        <v>29513</v>
      </c>
      <c r="H15" s="5"/>
      <c r="I15" s="4"/>
      <c r="J15" s="4"/>
      <c r="K15" s="4"/>
    </row>
    <row r="16" spans="1:11" x14ac:dyDescent="0.25">
      <c r="A16" s="38">
        <v>3.8</v>
      </c>
      <c r="B16" t="s">
        <v>131</v>
      </c>
      <c r="C16" s="14">
        <v>187433</v>
      </c>
      <c r="D16" s="41"/>
      <c r="E16" s="14">
        <f t="shared" si="2"/>
        <v>187433</v>
      </c>
      <c r="F16" s="41"/>
      <c r="G16" s="15">
        <f t="shared" si="3"/>
        <v>187433</v>
      </c>
      <c r="H16" s="5"/>
      <c r="I16" s="4"/>
      <c r="J16" s="4"/>
      <c r="K16" s="4"/>
    </row>
    <row r="17" spans="1:11" x14ac:dyDescent="0.25">
      <c r="A17" s="30">
        <v>3.9</v>
      </c>
      <c r="B17" t="s">
        <v>132</v>
      </c>
      <c r="C17" s="14">
        <v>46033</v>
      </c>
      <c r="D17" s="41"/>
      <c r="E17" s="14">
        <f t="shared" si="2"/>
        <v>46033</v>
      </c>
      <c r="F17" s="41"/>
      <c r="G17" s="15">
        <f t="shared" si="3"/>
        <v>46033</v>
      </c>
      <c r="H17" s="5"/>
      <c r="I17" s="4"/>
      <c r="J17" s="4"/>
      <c r="K17" s="4"/>
    </row>
    <row r="18" spans="1:11" x14ac:dyDescent="0.25">
      <c r="A18" s="31">
        <v>3.1</v>
      </c>
      <c r="B18" t="s">
        <v>133</v>
      </c>
      <c r="C18" s="14">
        <v>401668</v>
      </c>
      <c r="D18" s="41">
        <v>-223424</v>
      </c>
      <c r="E18" s="14">
        <f>SUM(C18:D18)</f>
        <v>178244</v>
      </c>
      <c r="F18" s="41"/>
      <c r="G18" s="15">
        <f t="shared" si="3"/>
        <v>178244</v>
      </c>
      <c r="H18" s="5"/>
      <c r="I18" s="4"/>
      <c r="J18" s="4"/>
      <c r="K18" s="4"/>
    </row>
    <row r="19" spans="1:11" x14ac:dyDescent="0.25">
      <c r="A19" s="30">
        <v>3.11</v>
      </c>
      <c r="B19" t="s">
        <v>134</v>
      </c>
      <c r="C19" s="14">
        <v>0</v>
      </c>
      <c r="D19" s="41"/>
      <c r="E19" s="14">
        <f t="shared" si="2"/>
        <v>0</v>
      </c>
      <c r="F19" s="41"/>
      <c r="G19" s="15">
        <f t="shared" si="3"/>
        <v>0</v>
      </c>
      <c r="H19" s="5"/>
      <c r="I19" s="4"/>
      <c r="J19" s="4"/>
      <c r="K19" s="4"/>
    </row>
    <row r="20" spans="1:11" x14ac:dyDescent="0.25">
      <c r="A20" s="30">
        <v>3.12</v>
      </c>
      <c r="B20" t="s">
        <v>135</v>
      </c>
      <c r="C20" s="14"/>
      <c r="D20" s="41"/>
      <c r="E20" s="14">
        <f t="shared" si="2"/>
        <v>0</v>
      </c>
      <c r="F20" s="41"/>
      <c r="G20" s="15">
        <f t="shared" si="3"/>
        <v>0</v>
      </c>
      <c r="H20" s="5"/>
      <c r="I20" s="4"/>
      <c r="J20" s="4"/>
      <c r="K20" s="4"/>
    </row>
    <row r="21" spans="1:11" x14ac:dyDescent="0.25">
      <c r="A21" s="29" t="s">
        <v>144</v>
      </c>
      <c r="B21" s="1" t="s">
        <v>142</v>
      </c>
      <c r="C21" s="17">
        <f>SUM(C12:C20)</f>
        <v>1010561</v>
      </c>
      <c r="D21" s="17">
        <f>SUM(D12:D20)</f>
        <v>-223424</v>
      </c>
      <c r="E21" s="17">
        <f>SUM(E12:E20)</f>
        <v>787137</v>
      </c>
      <c r="F21" s="17">
        <f>SUM(F12:F20)</f>
        <v>0</v>
      </c>
      <c r="G21" s="17">
        <f>SUM(G12:G20)</f>
        <v>787137</v>
      </c>
      <c r="H21" s="39"/>
      <c r="I21" s="4"/>
      <c r="J21" s="4"/>
      <c r="K21" s="4"/>
    </row>
    <row r="22" spans="1:11" x14ac:dyDescent="0.25">
      <c r="A22" s="30"/>
      <c r="G22" s="20"/>
    </row>
    <row r="23" spans="1:11" x14ac:dyDescent="0.25">
      <c r="A23" s="30">
        <v>3.13</v>
      </c>
      <c r="B23" t="s">
        <v>136</v>
      </c>
      <c r="C23" s="21"/>
      <c r="D23" s="34"/>
      <c r="E23" s="14">
        <f t="shared" ref="E23:E27" si="4">SUM(C23:D23)</f>
        <v>0</v>
      </c>
      <c r="F23" s="34"/>
      <c r="G23" s="15">
        <f t="shared" ref="G23:G27" si="5">E23-F23</f>
        <v>0</v>
      </c>
      <c r="H23" s="4"/>
      <c r="I23" s="4"/>
    </row>
    <row r="24" spans="1:11" x14ac:dyDescent="0.25">
      <c r="A24" s="30">
        <v>3.14</v>
      </c>
      <c r="B24" t="s">
        <v>137</v>
      </c>
      <c r="C24" s="21"/>
      <c r="D24" s="34"/>
      <c r="E24" s="14">
        <f t="shared" si="4"/>
        <v>0</v>
      </c>
      <c r="F24" s="34"/>
      <c r="G24" s="15">
        <f t="shared" si="5"/>
        <v>0</v>
      </c>
      <c r="H24" s="4"/>
      <c r="I24" s="4"/>
    </row>
    <row r="25" spans="1:11" x14ac:dyDescent="0.25">
      <c r="A25" s="30">
        <v>3.15</v>
      </c>
      <c r="B25" t="s">
        <v>138</v>
      </c>
      <c r="C25" s="21"/>
      <c r="D25" s="34"/>
      <c r="E25" s="14">
        <f t="shared" si="4"/>
        <v>0</v>
      </c>
      <c r="F25" s="34"/>
      <c r="G25" s="15">
        <f t="shared" si="5"/>
        <v>0</v>
      </c>
      <c r="H25" s="4"/>
      <c r="I25" s="4"/>
    </row>
    <row r="26" spans="1:11" x14ac:dyDescent="0.25">
      <c r="A26" s="30">
        <v>3.16</v>
      </c>
      <c r="B26" t="s">
        <v>139</v>
      </c>
      <c r="C26" s="21">
        <v>43499</v>
      </c>
      <c r="D26" s="34"/>
      <c r="E26" s="14">
        <f t="shared" si="4"/>
        <v>43499</v>
      </c>
      <c r="F26" s="34"/>
      <c r="G26" s="15">
        <f t="shared" si="5"/>
        <v>43499</v>
      </c>
      <c r="H26" s="4"/>
      <c r="I26" s="4"/>
    </row>
    <row r="27" spans="1:11" x14ac:dyDescent="0.25">
      <c r="A27" s="30">
        <v>3.17</v>
      </c>
      <c r="B27" t="s">
        <v>140</v>
      </c>
      <c r="C27" s="21"/>
      <c r="D27" s="34"/>
      <c r="E27" s="14">
        <f t="shared" si="4"/>
        <v>0</v>
      </c>
      <c r="F27" s="34"/>
      <c r="G27" s="15">
        <f t="shared" si="5"/>
        <v>0</v>
      </c>
      <c r="H27" s="4"/>
      <c r="I27" s="4"/>
    </row>
    <row r="28" spans="1:11" x14ac:dyDescent="0.25">
      <c r="A28" s="29" t="s">
        <v>143</v>
      </c>
      <c r="B28" s="1" t="s">
        <v>141</v>
      </c>
      <c r="C28" s="17">
        <f>SUM(C23:C27)</f>
        <v>43499</v>
      </c>
      <c r="D28" s="17">
        <f t="shared" ref="D28:G28" si="6">SUM(D23:D27)</f>
        <v>0</v>
      </c>
      <c r="E28" s="17">
        <f t="shared" si="6"/>
        <v>43499</v>
      </c>
      <c r="F28" s="17">
        <f t="shared" si="6"/>
        <v>0</v>
      </c>
      <c r="G28" s="18">
        <f t="shared" si="6"/>
        <v>43499</v>
      </c>
      <c r="H28" s="4"/>
      <c r="I28" s="4"/>
    </row>
    <row r="29" spans="1:11" x14ac:dyDescent="0.25">
      <c r="A29" s="30"/>
      <c r="C29" s="21"/>
      <c r="D29" s="21"/>
      <c r="E29" s="21"/>
      <c r="F29" s="21"/>
      <c r="G29" s="22"/>
      <c r="H29" s="4"/>
      <c r="I29" s="4"/>
    </row>
    <row r="30" spans="1:11" x14ac:dyDescent="0.25">
      <c r="A30" s="30">
        <v>3.18</v>
      </c>
      <c r="B30" t="s">
        <v>145</v>
      </c>
      <c r="C30" s="21">
        <v>566254</v>
      </c>
      <c r="D30" s="34"/>
      <c r="E30" s="14">
        <f t="shared" ref="E30:E35" si="7">SUM(C30:D30)</f>
        <v>566254</v>
      </c>
      <c r="F30" s="34"/>
      <c r="G30" s="15">
        <f t="shared" ref="G30:G35" si="8">E30-F30</f>
        <v>566254</v>
      </c>
      <c r="H30" s="4"/>
      <c r="I30" s="4"/>
    </row>
    <row r="31" spans="1:11" x14ac:dyDescent="0.25">
      <c r="A31" s="30">
        <v>3.19</v>
      </c>
      <c r="B31" t="s">
        <v>146</v>
      </c>
      <c r="C31" s="21">
        <v>69706</v>
      </c>
      <c r="D31" s="34"/>
      <c r="E31" s="14">
        <f t="shared" si="7"/>
        <v>69706</v>
      </c>
      <c r="F31" s="34"/>
      <c r="G31" s="15">
        <f t="shared" si="8"/>
        <v>69706</v>
      </c>
      <c r="H31" s="4"/>
      <c r="I31" s="4"/>
    </row>
    <row r="32" spans="1:11" x14ac:dyDescent="0.25">
      <c r="A32" s="31">
        <v>3.2</v>
      </c>
      <c r="B32" t="s">
        <v>147</v>
      </c>
      <c r="C32" s="21">
        <v>58446</v>
      </c>
      <c r="D32" s="34"/>
      <c r="E32" s="14">
        <f t="shared" si="7"/>
        <v>58446</v>
      </c>
      <c r="F32" s="34"/>
      <c r="G32" s="15">
        <f t="shared" si="8"/>
        <v>58446</v>
      </c>
      <c r="H32" s="4"/>
      <c r="I32" s="4"/>
    </row>
    <row r="33" spans="1:9" x14ac:dyDescent="0.25">
      <c r="A33" s="31">
        <v>3.21</v>
      </c>
      <c r="B33" t="s">
        <v>148</v>
      </c>
      <c r="C33" s="21">
        <v>517124</v>
      </c>
      <c r="D33" s="34"/>
      <c r="E33" s="14">
        <f t="shared" si="7"/>
        <v>517124</v>
      </c>
      <c r="F33" s="34"/>
      <c r="G33" s="15">
        <f t="shared" si="8"/>
        <v>517124</v>
      </c>
      <c r="H33" s="4"/>
      <c r="I33" s="4"/>
    </row>
    <row r="34" spans="1:9" x14ac:dyDescent="0.25">
      <c r="A34" s="30">
        <v>3.22</v>
      </c>
      <c r="B34" t="s">
        <v>149</v>
      </c>
      <c r="C34" s="21">
        <v>8510</v>
      </c>
      <c r="D34" s="34"/>
      <c r="E34" s="14">
        <f t="shared" si="7"/>
        <v>8510</v>
      </c>
      <c r="F34" s="34"/>
      <c r="G34" s="15">
        <f t="shared" si="8"/>
        <v>8510</v>
      </c>
      <c r="H34" s="4"/>
      <c r="I34" s="4"/>
    </row>
    <row r="35" spans="1:9" x14ac:dyDescent="0.25">
      <c r="A35" s="30">
        <v>3.23</v>
      </c>
      <c r="B35" t="s">
        <v>150</v>
      </c>
      <c r="C35" s="21">
        <v>70200</v>
      </c>
      <c r="D35" s="34">
        <v>76</v>
      </c>
      <c r="E35" s="14">
        <f t="shared" si="7"/>
        <v>70276</v>
      </c>
      <c r="F35" s="34"/>
      <c r="G35" s="15">
        <f t="shared" si="8"/>
        <v>70276</v>
      </c>
      <c r="H35" s="4"/>
      <c r="I35" s="4"/>
    </row>
    <row r="36" spans="1:9" x14ac:dyDescent="0.25">
      <c r="A36" s="29" t="s">
        <v>151</v>
      </c>
      <c r="B36" s="1" t="s">
        <v>152</v>
      </c>
      <c r="C36" s="17">
        <f>SUM(C30:C35)</f>
        <v>1290240</v>
      </c>
      <c r="D36" s="17">
        <f>SUM(D30:D35)</f>
        <v>76</v>
      </c>
      <c r="E36" s="17">
        <f>SUM(E30:E35)</f>
        <v>1290316</v>
      </c>
      <c r="F36" s="17">
        <f>SUM(F30:F35)</f>
        <v>0</v>
      </c>
      <c r="G36" s="18">
        <f>SUM(G30:G35)</f>
        <v>1290316</v>
      </c>
      <c r="H36" s="4"/>
      <c r="I36" s="4"/>
    </row>
    <row r="37" spans="1:9" x14ac:dyDescent="0.25">
      <c r="A37" s="30"/>
      <c r="C37" s="21"/>
      <c r="D37" s="21"/>
      <c r="E37" s="21"/>
      <c r="F37" s="21"/>
      <c r="G37" s="22"/>
      <c r="H37" s="4"/>
      <c r="I37" s="4"/>
    </row>
    <row r="38" spans="1:9" x14ac:dyDescent="0.25">
      <c r="A38" s="30">
        <v>3.24</v>
      </c>
      <c r="B38" t="s">
        <v>154</v>
      </c>
      <c r="C38" s="21">
        <v>164746</v>
      </c>
      <c r="D38" s="34"/>
      <c r="E38" s="14">
        <f t="shared" ref="E38:E44" si="9">SUM(C38:D38)</f>
        <v>164746</v>
      </c>
      <c r="F38" s="34"/>
      <c r="G38" s="15">
        <f t="shared" ref="G38:G44" si="10">E38-F38</f>
        <v>164746</v>
      </c>
      <c r="H38" s="4"/>
      <c r="I38" s="4"/>
    </row>
    <row r="39" spans="1:9" x14ac:dyDescent="0.25">
      <c r="A39" s="30">
        <v>3.25</v>
      </c>
      <c r="B39" t="s">
        <v>155</v>
      </c>
      <c r="C39" s="21">
        <v>37173</v>
      </c>
      <c r="D39" s="34"/>
      <c r="E39" s="14">
        <f t="shared" si="9"/>
        <v>37173</v>
      </c>
      <c r="F39" s="34"/>
      <c r="G39" s="15">
        <f t="shared" si="10"/>
        <v>37173</v>
      </c>
      <c r="H39" s="4"/>
      <c r="I39" s="4"/>
    </row>
    <row r="40" spans="1:9" x14ac:dyDescent="0.25">
      <c r="A40" s="31">
        <v>3.26</v>
      </c>
      <c r="B40" t="s">
        <v>156</v>
      </c>
      <c r="C40" s="21">
        <v>16456</v>
      </c>
      <c r="D40" s="34"/>
      <c r="E40" s="14">
        <f t="shared" si="9"/>
        <v>16456</v>
      </c>
      <c r="F40" s="34"/>
      <c r="G40" s="15">
        <f t="shared" si="10"/>
        <v>16456</v>
      </c>
      <c r="H40" s="4"/>
      <c r="I40" s="4"/>
    </row>
    <row r="41" spans="1:9" x14ac:dyDescent="0.25">
      <c r="A41" s="31">
        <v>3.27</v>
      </c>
      <c r="B41" t="s">
        <v>157</v>
      </c>
      <c r="C41" s="21">
        <v>416942</v>
      </c>
      <c r="D41" s="34"/>
      <c r="E41" s="14">
        <f t="shared" si="9"/>
        <v>416942</v>
      </c>
      <c r="F41" s="34"/>
      <c r="G41" s="15">
        <f t="shared" si="10"/>
        <v>416942</v>
      </c>
      <c r="H41" s="4"/>
      <c r="I41" s="4"/>
    </row>
    <row r="42" spans="1:9" x14ac:dyDescent="0.25">
      <c r="A42" s="30">
        <v>3.28</v>
      </c>
      <c r="B42" t="s">
        <v>159</v>
      </c>
      <c r="C42" s="21">
        <v>43389</v>
      </c>
      <c r="D42" s="34"/>
      <c r="E42" s="14">
        <f t="shared" si="9"/>
        <v>43389</v>
      </c>
      <c r="F42" s="34"/>
      <c r="G42" s="15">
        <f t="shared" si="10"/>
        <v>43389</v>
      </c>
      <c r="H42" s="4"/>
      <c r="I42" s="4"/>
    </row>
    <row r="43" spans="1:9" x14ac:dyDescent="0.25">
      <c r="A43" s="30">
        <v>3.29</v>
      </c>
      <c r="B43" t="s">
        <v>158</v>
      </c>
      <c r="C43" s="21">
        <v>1017</v>
      </c>
      <c r="D43" s="34"/>
      <c r="E43" s="14">
        <f t="shared" si="9"/>
        <v>1017</v>
      </c>
      <c r="F43" s="34"/>
      <c r="G43" s="15">
        <f t="shared" si="10"/>
        <v>1017</v>
      </c>
      <c r="H43" s="4"/>
      <c r="I43" s="4"/>
    </row>
    <row r="44" spans="1:9" x14ac:dyDescent="0.25">
      <c r="A44" s="31">
        <v>3.3</v>
      </c>
      <c r="B44" t="s">
        <v>160</v>
      </c>
      <c r="C44" s="21"/>
      <c r="D44" s="34"/>
      <c r="E44" s="14">
        <f t="shared" si="9"/>
        <v>0</v>
      </c>
      <c r="F44" s="34"/>
      <c r="G44" s="15">
        <f t="shared" si="10"/>
        <v>0</v>
      </c>
      <c r="H44" s="4"/>
      <c r="I44" s="4"/>
    </row>
    <row r="45" spans="1:9" x14ac:dyDescent="0.25">
      <c r="A45" s="29" t="s">
        <v>153</v>
      </c>
      <c r="B45" s="1" t="s">
        <v>161</v>
      </c>
      <c r="C45" s="17">
        <f>SUM(C38:C44)</f>
        <v>679723</v>
      </c>
      <c r="D45" s="17">
        <f>SUM(D38:D44)</f>
        <v>0</v>
      </c>
      <c r="E45" s="17">
        <f>SUM(E38:E44)</f>
        <v>679723</v>
      </c>
      <c r="F45" s="17">
        <f>SUM(F38:F44)</f>
        <v>0</v>
      </c>
      <c r="G45" s="18">
        <f>SUM(G38:G44)</f>
        <v>679723</v>
      </c>
      <c r="H45" s="4"/>
      <c r="I45" s="4"/>
    </row>
    <row r="46" spans="1:9" x14ac:dyDescent="0.25">
      <c r="A46" s="30"/>
      <c r="C46" s="21"/>
      <c r="D46" s="21"/>
      <c r="E46" s="21"/>
      <c r="F46" s="21"/>
      <c r="G46" s="22"/>
      <c r="H46" s="4"/>
      <c r="I46" s="4"/>
    </row>
    <row r="47" spans="1:9" x14ac:dyDescent="0.25">
      <c r="A47" s="30">
        <v>3.31</v>
      </c>
      <c r="B47" t="s">
        <v>163</v>
      </c>
      <c r="C47" s="21"/>
      <c r="D47" s="34"/>
      <c r="E47" s="14">
        <f t="shared" ref="E47:E51" si="11">SUM(C47:D47)</f>
        <v>0</v>
      </c>
      <c r="F47" s="34"/>
      <c r="G47" s="15">
        <f t="shared" ref="G47:G51" si="12">E47-F47</f>
        <v>0</v>
      </c>
      <c r="H47" s="4"/>
      <c r="I47" s="4"/>
    </row>
    <row r="48" spans="1:9" x14ac:dyDescent="0.25">
      <c r="A48" s="30">
        <v>3.32</v>
      </c>
      <c r="B48" t="s">
        <v>164</v>
      </c>
      <c r="C48" s="21"/>
      <c r="D48" s="34"/>
      <c r="E48" s="14">
        <f t="shared" si="11"/>
        <v>0</v>
      </c>
      <c r="F48" s="34"/>
      <c r="G48" s="15">
        <f t="shared" si="12"/>
        <v>0</v>
      </c>
      <c r="H48" s="4"/>
      <c r="I48" s="4"/>
    </row>
    <row r="49" spans="1:9" x14ac:dyDescent="0.25">
      <c r="A49" s="31">
        <v>3.33</v>
      </c>
      <c r="B49" t="s">
        <v>165</v>
      </c>
      <c r="C49" s="21"/>
      <c r="D49" s="34"/>
      <c r="E49" s="14">
        <f t="shared" si="11"/>
        <v>0</v>
      </c>
      <c r="F49" s="34"/>
      <c r="G49" s="15">
        <f t="shared" si="12"/>
        <v>0</v>
      </c>
      <c r="H49" s="4"/>
      <c r="I49" s="4"/>
    </row>
    <row r="50" spans="1:9" x14ac:dyDescent="0.25">
      <c r="A50" s="31">
        <v>3.34</v>
      </c>
      <c r="B50" t="s">
        <v>166</v>
      </c>
      <c r="C50" s="21"/>
      <c r="D50" s="34"/>
      <c r="E50" s="14">
        <f t="shared" si="11"/>
        <v>0</v>
      </c>
      <c r="F50" s="34"/>
      <c r="G50" s="15">
        <f t="shared" si="12"/>
        <v>0</v>
      </c>
      <c r="H50" s="4"/>
      <c r="I50" s="4"/>
    </row>
    <row r="51" spans="1:9" x14ac:dyDescent="0.25">
      <c r="A51" s="30">
        <v>3.35</v>
      </c>
      <c r="B51" t="s">
        <v>167</v>
      </c>
      <c r="C51" s="21"/>
      <c r="D51" s="34"/>
      <c r="E51" s="14">
        <f t="shared" si="11"/>
        <v>0</v>
      </c>
      <c r="F51" s="34"/>
      <c r="G51" s="15">
        <f t="shared" si="12"/>
        <v>0</v>
      </c>
      <c r="H51" s="4"/>
      <c r="I51" s="4"/>
    </row>
    <row r="52" spans="1:9" x14ac:dyDescent="0.25">
      <c r="A52" s="29" t="s">
        <v>162</v>
      </c>
      <c r="B52" s="1" t="s">
        <v>168</v>
      </c>
      <c r="C52" s="17">
        <f>SUM(C47:C51)</f>
        <v>0</v>
      </c>
      <c r="D52" s="17">
        <f>SUM(D47:D51)</f>
        <v>0</v>
      </c>
      <c r="E52" s="17">
        <f>SUM(E47:E51)</f>
        <v>0</v>
      </c>
      <c r="F52" s="17">
        <f>SUM(F47:F51)</f>
        <v>0</v>
      </c>
      <c r="G52" s="18">
        <f>SUM(G47:G51)</f>
        <v>0</v>
      </c>
      <c r="H52" s="4"/>
      <c r="I52" s="4"/>
    </row>
    <row r="53" spans="1:9" x14ac:dyDescent="0.25">
      <c r="A53" s="29"/>
      <c r="B53" s="1"/>
      <c r="C53" s="17"/>
      <c r="D53" s="17"/>
      <c r="E53" s="17"/>
      <c r="F53" s="17"/>
      <c r="G53" s="18"/>
      <c r="H53" s="4"/>
      <c r="I53" s="4"/>
    </row>
    <row r="54" spans="1:9" x14ac:dyDescent="0.25">
      <c r="A54" s="30">
        <v>3.36</v>
      </c>
      <c r="B54" t="s">
        <v>170</v>
      </c>
      <c r="C54" s="21">
        <v>103319</v>
      </c>
      <c r="D54" s="34">
        <f>166391-C54</f>
        <v>63072</v>
      </c>
      <c r="E54" s="14">
        <f t="shared" ref="E54:E57" si="13">SUM(C54:D54)</f>
        <v>166391</v>
      </c>
      <c r="F54" s="34"/>
      <c r="G54" s="15">
        <f t="shared" ref="G54:G57" si="14">E54-F54</f>
        <v>166391</v>
      </c>
      <c r="H54" s="4"/>
      <c r="I54" s="4"/>
    </row>
    <row r="55" spans="1:9" x14ac:dyDescent="0.25">
      <c r="A55" s="30">
        <v>3.37</v>
      </c>
      <c r="B55" t="s">
        <v>171</v>
      </c>
      <c r="C55" s="21">
        <v>0</v>
      </c>
      <c r="D55" s="34">
        <v>22788</v>
      </c>
      <c r="E55" s="14">
        <f t="shared" si="13"/>
        <v>22788</v>
      </c>
      <c r="F55" s="34"/>
      <c r="G55" s="15">
        <f t="shared" si="14"/>
        <v>22788</v>
      </c>
      <c r="H55" s="4"/>
      <c r="I55" s="4"/>
    </row>
    <row r="56" spans="1:9" x14ac:dyDescent="0.25">
      <c r="A56" s="31">
        <v>3.38</v>
      </c>
      <c r="B56" t="s">
        <v>172</v>
      </c>
      <c r="C56" s="21">
        <v>0</v>
      </c>
      <c r="D56" s="34">
        <v>16215</v>
      </c>
      <c r="E56" s="14">
        <f t="shared" si="13"/>
        <v>16215</v>
      </c>
      <c r="F56" s="34"/>
      <c r="G56" s="15">
        <f t="shared" si="14"/>
        <v>16215</v>
      </c>
      <c r="H56" s="4"/>
      <c r="I56" s="4"/>
    </row>
    <row r="57" spans="1:9" x14ac:dyDescent="0.25">
      <c r="A57" s="31">
        <v>3.39</v>
      </c>
      <c r="B57" t="s">
        <v>173</v>
      </c>
      <c r="C57" s="21">
        <v>0</v>
      </c>
      <c r="D57" s="34"/>
      <c r="E57" s="14">
        <f t="shared" si="13"/>
        <v>0</v>
      </c>
      <c r="F57" s="34"/>
      <c r="G57" s="15">
        <f t="shared" si="14"/>
        <v>0</v>
      </c>
      <c r="H57" s="4"/>
      <c r="I57" s="4"/>
    </row>
    <row r="58" spans="1:9" x14ac:dyDescent="0.25">
      <c r="A58" s="29" t="s">
        <v>169</v>
      </c>
      <c r="B58" s="1" t="s">
        <v>174</v>
      </c>
      <c r="C58" s="17">
        <f>SUM(C54:C57)</f>
        <v>103319</v>
      </c>
      <c r="D58" s="17">
        <f>SUM(D54:D57)</f>
        <v>102075</v>
      </c>
      <c r="E58" s="17">
        <f>SUM(E54:E57)</f>
        <v>205394</v>
      </c>
      <c r="F58" s="17">
        <f>SUM(F54:F57)</f>
        <v>0</v>
      </c>
      <c r="G58" s="18">
        <f>SUM(G54:G57)</f>
        <v>205394</v>
      </c>
      <c r="H58" s="4"/>
      <c r="I58" s="4"/>
    </row>
    <row r="59" spans="1:9" x14ac:dyDescent="0.25">
      <c r="A59" s="29"/>
      <c r="B59" s="1"/>
      <c r="C59" s="17"/>
      <c r="D59" s="17"/>
      <c r="E59" s="17"/>
      <c r="F59" s="17"/>
      <c r="G59" s="18"/>
      <c r="H59" s="4"/>
      <c r="I59" s="4"/>
    </row>
    <row r="60" spans="1:9" x14ac:dyDescent="0.25">
      <c r="A60" s="31">
        <v>3.4</v>
      </c>
      <c r="B60" t="s">
        <v>176</v>
      </c>
      <c r="C60" s="21">
        <v>49879</v>
      </c>
      <c r="D60" s="34">
        <f>52125-C60</f>
        <v>2246</v>
      </c>
      <c r="E60" s="14">
        <f t="shared" ref="E60:E63" si="15">SUM(C60:D60)</f>
        <v>52125</v>
      </c>
      <c r="F60" s="34"/>
      <c r="G60" s="15">
        <f t="shared" ref="G60:G63" si="16">E60-F60</f>
        <v>52125</v>
      </c>
      <c r="H60" s="4"/>
      <c r="I60" s="4"/>
    </row>
    <row r="61" spans="1:9" x14ac:dyDescent="0.25">
      <c r="A61" s="30">
        <v>3.41</v>
      </c>
      <c r="B61" t="s">
        <v>177</v>
      </c>
      <c r="C61" s="21">
        <v>0</v>
      </c>
      <c r="D61" s="34">
        <v>7139</v>
      </c>
      <c r="E61" s="14">
        <f t="shared" si="15"/>
        <v>7139</v>
      </c>
      <c r="F61" s="34"/>
      <c r="G61" s="15">
        <f t="shared" si="16"/>
        <v>7139</v>
      </c>
      <c r="H61" s="4"/>
      <c r="I61" s="4"/>
    </row>
    <row r="62" spans="1:9" x14ac:dyDescent="0.25">
      <c r="A62" s="31">
        <v>3.42</v>
      </c>
      <c r="B62" t="s">
        <v>178</v>
      </c>
      <c r="C62" s="21">
        <v>0</v>
      </c>
      <c r="D62" s="34">
        <v>5079</v>
      </c>
      <c r="E62" s="14">
        <f t="shared" si="15"/>
        <v>5079</v>
      </c>
      <c r="F62" s="34"/>
      <c r="G62" s="15">
        <f t="shared" si="16"/>
        <v>5079</v>
      </c>
      <c r="H62" s="4"/>
      <c r="I62" s="4"/>
    </row>
    <row r="63" spans="1:9" x14ac:dyDescent="0.25">
      <c r="A63" s="31">
        <v>3.43</v>
      </c>
      <c r="B63" t="s">
        <v>179</v>
      </c>
      <c r="C63" s="21"/>
      <c r="D63" s="34">
        <v>373285</v>
      </c>
      <c r="E63" s="14">
        <f t="shared" si="15"/>
        <v>373285</v>
      </c>
      <c r="F63" s="34"/>
      <c r="G63" s="15">
        <f t="shared" si="16"/>
        <v>373285</v>
      </c>
      <c r="H63" s="4"/>
      <c r="I63" s="4"/>
    </row>
    <row r="64" spans="1:9" x14ac:dyDescent="0.25">
      <c r="A64" s="29" t="s">
        <v>175</v>
      </c>
      <c r="B64" s="1" t="s">
        <v>180</v>
      </c>
      <c r="C64" s="17">
        <f>SUM(C60:C63)</f>
        <v>49879</v>
      </c>
      <c r="D64" s="17">
        <f>SUM(D60:D63)</f>
        <v>387749</v>
      </c>
      <c r="E64" s="17">
        <f>SUM(E60:E63)</f>
        <v>437628</v>
      </c>
      <c r="F64" s="17">
        <f>SUM(F60:F63)</f>
        <v>0</v>
      </c>
      <c r="G64" s="18">
        <f>SUM(G60:G63)</f>
        <v>437628</v>
      </c>
      <c r="H64" s="4"/>
      <c r="I64" s="4"/>
    </row>
    <row r="65" spans="1:9" x14ac:dyDescent="0.25">
      <c r="A65" s="29"/>
      <c r="B65" s="1"/>
      <c r="C65" s="17"/>
      <c r="D65" s="17"/>
      <c r="E65" s="17"/>
      <c r="F65" s="17"/>
      <c r="G65" s="18"/>
      <c r="H65" s="4"/>
      <c r="I65" s="4"/>
    </row>
    <row r="66" spans="1:9" x14ac:dyDescent="0.25">
      <c r="A66" s="31">
        <v>3.44</v>
      </c>
      <c r="B66" t="s">
        <v>182</v>
      </c>
      <c r="C66" s="21"/>
      <c r="D66" s="34"/>
      <c r="E66" s="14">
        <f t="shared" ref="E66:E69" si="17">SUM(C66:D66)</f>
        <v>0</v>
      </c>
      <c r="F66" s="34"/>
      <c r="G66" s="15">
        <f t="shared" ref="G66:G69" si="18">E66-F66</f>
        <v>0</v>
      </c>
      <c r="H66" s="4"/>
      <c r="I66" s="4"/>
    </row>
    <row r="67" spans="1:9" x14ac:dyDescent="0.25">
      <c r="A67" s="30">
        <v>3.45</v>
      </c>
      <c r="B67" t="s">
        <v>183</v>
      </c>
      <c r="C67" s="21"/>
      <c r="D67" s="34"/>
      <c r="E67" s="14">
        <f t="shared" si="17"/>
        <v>0</v>
      </c>
      <c r="F67" s="34"/>
      <c r="G67" s="15">
        <f t="shared" si="18"/>
        <v>0</v>
      </c>
      <c r="H67" s="4"/>
      <c r="I67" s="4"/>
    </row>
    <row r="68" spans="1:9" x14ac:dyDescent="0.25">
      <c r="A68" s="31">
        <v>3.46</v>
      </c>
      <c r="B68" t="s">
        <v>184</v>
      </c>
      <c r="C68" s="21"/>
      <c r="D68" s="34"/>
      <c r="E68" s="14">
        <f t="shared" si="17"/>
        <v>0</v>
      </c>
      <c r="F68" s="34"/>
      <c r="G68" s="15">
        <f t="shared" si="18"/>
        <v>0</v>
      </c>
      <c r="H68" s="4"/>
      <c r="I68" s="4"/>
    </row>
    <row r="69" spans="1:9" x14ac:dyDescent="0.25">
      <c r="A69" s="31">
        <v>3.47</v>
      </c>
      <c r="B69" t="s">
        <v>185</v>
      </c>
      <c r="C69" s="21"/>
      <c r="D69" s="34"/>
      <c r="E69" s="14">
        <f t="shared" si="17"/>
        <v>0</v>
      </c>
      <c r="F69" s="34"/>
      <c r="G69" s="15">
        <f t="shared" si="18"/>
        <v>0</v>
      </c>
      <c r="H69" s="4"/>
      <c r="I69" s="4"/>
    </row>
    <row r="70" spans="1:9" x14ac:dyDescent="0.25">
      <c r="A70" s="29" t="s">
        <v>181</v>
      </c>
      <c r="B70" s="1" t="s">
        <v>186</v>
      </c>
      <c r="C70" s="17">
        <f>SUM(C66:C69)</f>
        <v>0</v>
      </c>
      <c r="D70" s="17">
        <f>SUM(D66:D69)</f>
        <v>0</v>
      </c>
      <c r="E70" s="17">
        <f>SUM(E66:E69)</f>
        <v>0</v>
      </c>
      <c r="F70" s="17">
        <f>SUM(F66:F69)</f>
        <v>0</v>
      </c>
      <c r="G70" s="18">
        <f>SUM(G66:G69)</f>
        <v>0</v>
      </c>
      <c r="H70" s="4"/>
      <c r="I70" s="4"/>
    </row>
    <row r="71" spans="1:9" x14ac:dyDescent="0.25">
      <c r="A71" s="29"/>
      <c r="B71" s="1"/>
      <c r="C71" s="17"/>
      <c r="D71" s="17"/>
      <c r="E71" s="17"/>
      <c r="F71" s="17"/>
      <c r="G71" s="18"/>
      <c r="H71" s="4"/>
      <c r="I71" s="4"/>
    </row>
    <row r="72" spans="1:9" x14ac:dyDescent="0.25">
      <c r="A72" s="31">
        <v>3.48</v>
      </c>
      <c r="B72" t="s">
        <v>187</v>
      </c>
      <c r="C72" s="21">
        <v>101247</v>
      </c>
      <c r="D72" s="34">
        <f>119900-C72</f>
        <v>18653</v>
      </c>
      <c r="E72" s="14">
        <f t="shared" ref="E72:E75" si="19">SUM(C72:D72)</f>
        <v>119900</v>
      </c>
      <c r="F72" s="34"/>
      <c r="G72" s="15">
        <f t="shared" ref="G72:G75" si="20">E72-F72</f>
        <v>119900</v>
      </c>
      <c r="H72" s="4"/>
      <c r="I72" s="4"/>
    </row>
    <row r="73" spans="1:9" x14ac:dyDescent="0.25">
      <c r="A73" s="30">
        <v>3.49</v>
      </c>
      <c r="B73" t="s">
        <v>188</v>
      </c>
      <c r="C73" s="21">
        <v>5807</v>
      </c>
      <c r="D73" s="34">
        <f>16471-C73</f>
        <v>10664</v>
      </c>
      <c r="E73" s="14">
        <f t="shared" si="19"/>
        <v>16471</v>
      </c>
      <c r="F73" s="34"/>
      <c r="G73" s="15">
        <f t="shared" si="20"/>
        <v>16471</v>
      </c>
      <c r="H73" s="4"/>
      <c r="I73" s="4"/>
    </row>
    <row r="74" spans="1:9" x14ac:dyDescent="0.25">
      <c r="A74" s="31">
        <v>3.5</v>
      </c>
      <c r="B74" t="s">
        <v>189</v>
      </c>
      <c r="C74" s="21">
        <v>4167</v>
      </c>
      <c r="D74" s="34">
        <f>11755-C74</f>
        <v>7588</v>
      </c>
      <c r="E74" s="14">
        <f t="shared" si="19"/>
        <v>11755</v>
      </c>
      <c r="F74" s="34"/>
      <c r="G74" s="15">
        <f t="shared" si="20"/>
        <v>11755</v>
      </c>
      <c r="H74" s="4"/>
      <c r="I74" s="4"/>
    </row>
    <row r="75" spans="1:9" x14ac:dyDescent="0.25">
      <c r="A75" s="31">
        <v>3.51</v>
      </c>
      <c r="B75" t="s">
        <v>190</v>
      </c>
      <c r="C75" s="21">
        <v>0</v>
      </c>
      <c r="D75" s="34">
        <v>6120</v>
      </c>
      <c r="E75" s="14">
        <f t="shared" si="19"/>
        <v>6120</v>
      </c>
      <c r="F75" s="34"/>
      <c r="G75" s="15">
        <f t="shared" si="20"/>
        <v>6120</v>
      </c>
      <c r="H75" s="4"/>
      <c r="I75" s="4"/>
    </row>
    <row r="76" spans="1:9" x14ac:dyDescent="0.25">
      <c r="A76" s="29" t="s">
        <v>192</v>
      </c>
      <c r="B76" s="1" t="s">
        <v>191</v>
      </c>
      <c r="C76" s="17">
        <f>SUM(C72:C75)</f>
        <v>111221</v>
      </c>
      <c r="D76" s="17">
        <f>SUM(D72:D75)</f>
        <v>43025</v>
      </c>
      <c r="E76" s="17">
        <f>SUM(E72:E75)</f>
        <v>154246</v>
      </c>
      <c r="F76" s="17">
        <f>SUM(F72:F75)</f>
        <v>0</v>
      </c>
      <c r="G76" s="18">
        <f>SUM(G72:G75)</f>
        <v>154246</v>
      </c>
      <c r="H76" s="4"/>
      <c r="I76" s="4"/>
    </row>
    <row r="77" spans="1:9" x14ac:dyDescent="0.25">
      <c r="A77" s="29"/>
      <c r="B77" s="1"/>
      <c r="C77" s="17"/>
      <c r="D77" s="17"/>
      <c r="E77" s="17"/>
      <c r="F77" s="17"/>
      <c r="G77" s="18"/>
      <c r="H77" s="4"/>
      <c r="I77" s="4"/>
    </row>
    <row r="78" spans="1:9" x14ac:dyDescent="0.25">
      <c r="A78" s="31">
        <v>3.52</v>
      </c>
      <c r="B78" t="s">
        <v>194</v>
      </c>
      <c r="C78" s="21"/>
      <c r="D78" s="34"/>
      <c r="E78" s="14">
        <f t="shared" ref="E78:E81" si="21">SUM(C78:D78)</f>
        <v>0</v>
      </c>
      <c r="F78" s="34"/>
      <c r="G78" s="15">
        <f t="shared" ref="G78:G81" si="22">E78-F78</f>
        <v>0</v>
      </c>
      <c r="H78" s="4"/>
      <c r="I78" s="4"/>
    </row>
    <row r="79" spans="1:9" x14ac:dyDescent="0.25">
      <c r="A79" s="30">
        <v>3.53</v>
      </c>
      <c r="B79" t="s">
        <v>195</v>
      </c>
      <c r="C79" s="21"/>
      <c r="D79" s="34"/>
      <c r="E79" s="14">
        <f t="shared" si="21"/>
        <v>0</v>
      </c>
      <c r="F79" s="34"/>
      <c r="G79" s="15">
        <f t="shared" si="22"/>
        <v>0</v>
      </c>
      <c r="H79" s="4"/>
      <c r="I79" s="4"/>
    </row>
    <row r="80" spans="1:9" x14ac:dyDescent="0.25">
      <c r="A80" s="31">
        <v>3.54</v>
      </c>
      <c r="B80" t="s">
        <v>196</v>
      </c>
      <c r="C80" s="21"/>
      <c r="D80" s="34"/>
      <c r="E80" s="14">
        <f t="shared" si="21"/>
        <v>0</v>
      </c>
      <c r="F80" s="34"/>
      <c r="G80" s="15">
        <f t="shared" si="22"/>
        <v>0</v>
      </c>
      <c r="H80" s="4"/>
      <c r="I80" s="4"/>
    </row>
    <row r="81" spans="1:9" x14ac:dyDescent="0.25">
      <c r="A81" s="31">
        <v>3.55</v>
      </c>
      <c r="B81" t="s">
        <v>197</v>
      </c>
      <c r="C81" s="21"/>
      <c r="D81" s="34"/>
      <c r="E81" s="14">
        <f t="shared" si="21"/>
        <v>0</v>
      </c>
      <c r="F81" s="34"/>
      <c r="G81" s="15">
        <f t="shared" si="22"/>
        <v>0</v>
      </c>
      <c r="H81" s="4"/>
      <c r="I81" s="4"/>
    </row>
    <row r="82" spans="1:9" x14ac:dyDescent="0.25">
      <c r="A82" s="29" t="s">
        <v>193</v>
      </c>
      <c r="B82" s="1" t="s">
        <v>198</v>
      </c>
      <c r="C82" s="17">
        <f>SUM(C78:C81)</f>
        <v>0</v>
      </c>
      <c r="D82" s="17">
        <f>SUM(D78:D81)</f>
        <v>0</v>
      </c>
      <c r="E82" s="17">
        <f>SUM(E78:E81)</f>
        <v>0</v>
      </c>
      <c r="F82" s="17">
        <f>SUM(F78:F81)</f>
        <v>0</v>
      </c>
      <c r="G82" s="18">
        <f>SUM(G78:G81)</f>
        <v>0</v>
      </c>
      <c r="H82" s="4"/>
      <c r="I82" s="4"/>
    </row>
    <row r="83" spans="1:9" x14ac:dyDescent="0.25">
      <c r="A83" s="29"/>
      <c r="B83" s="1"/>
      <c r="C83" s="17"/>
      <c r="D83" s="17"/>
      <c r="E83" s="17"/>
      <c r="F83" s="17"/>
      <c r="G83" s="18"/>
      <c r="H83" s="4"/>
      <c r="I83" s="4"/>
    </row>
    <row r="84" spans="1:9" x14ac:dyDescent="0.25">
      <c r="A84" s="31">
        <v>3.56</v>
      </c>
      <c r="B84" t="s">
        <v>199</v>
      </c>
      <c r="C84" s="21"/>
      <c r="D84" s="34"/>
      <c r="E84" s="14">
        <f t="shared" ref="E84:E91" si="23">SUM(C84:D84)</f>
        <v>0</v>
      </c>
      <c r="F84" s="34"/>
      <c r="G84" s="15">
        <f t="shared" ref="G84:G91" si="24">E84-F84</f>
        <v>0</v>
      </c>
      <c r="H84" s="4"/>
      <c r="I84" s="4"/>
    </row>
    <row r="85" spans="1:9" x14ac:dyDescent="0.25">
      <c r="A85" s="30">
        <v>3.57</v>
      </c>
      <c r="B85" t="s">
        <v>200</v>
      </c>
      <c r="C85" s="21"/>
      <c r="D85" s="34"/>
      <c r="E85" s="14">
        <f t="shared" si="23"/>
        <v>0</v>
      </c>
      <c r="F85" s="34"/>
      <c r="G85" s="15">
        <f t="shared" si="24"/>
        <v>0</v>
      </c>
      <c r="H85" s="4"/>
      <c r="I85" s="4"/>
    </row>
    <row r="86" spans="1:9" x14ac:dyDescent="0.25">
      <c r="A86" s="31">
        <v>3.58</v>
      </c>
      <c r="B86" t="s">
        <v>201</v>
      </c>
      <c r="C86" s="21"/>
      <c r="D86" s="34"/>
      <c r="E86" s="14">
        <f t="shared" si="23"/>
        <v>0</v>
      </c>
      <c r="F86" s="34"/>
      <c r="G86" s="15">
        <f t="shared" si="24"/>
        <v>0</v>
      </c>
      <c r="H86" s="4"/>
      <c r="I86" s="4"/>
    </row>
    <row r="87" spans="1:9" x14ac:dyDescent="0.25">
      <c r="A87" s="31">
        <v>3.59</v>
      </c>
      <c r="B87" t="s">
        <v>202</v>
      </c>
      <c r="C87" s="21">
        <v>433563</v>
      </c>
      <c r="D87" s="34"/>
      <c r="E87" s="14">
        <f t="shared" si="23"/>
        <v>433563</v>
      </c>
      <c r="F87" s="34"/>
      <c r="G87" s="15">
        <f t="shared" si="24"/>
        <v>433563</v>
      </c>
      <c r="H87" s="4"/>
      <c r="I87" s="4"/>
    </row>
    <row r="88" spans="1:9" x14ac:dyDescent="0.25">
      <c r="A88" s="31">
        <v>3.6</v>
      </c>
      <c r="B88" t="s">
        <v>203</v>
      </c>
      <c r="C88" s="21"/>
      <c r="D88" s="34"/>
      <c r="E88" s="14">
        <f t="shared" si="23"/>
        <v>0</v>
      </c>
      <c r="F88" s="34"/>
      <c r="G88" s="15">
        <f t="shared" si="24"/>
        <v>0</v>
      </c>
      <c r="H88" s="4"/>
      <c r="I88" s="4"/>
    </row>
    <row r="89" spans="1:9" x14ac:dyDescent="0.25">
      <c r="A89" s="31">
        <v>3.61</v>
      </c>
      <c r="B89" t="s">
        <v>204</v>
      </c>
      <c r="C89" s="21"/>
      <c r="D89" s="34"/>
      <c r="E89" s="14">
        <f t="shared" si="23"/>
        <v>0</v>
      </c>
      <c r="F89" s="34"/>
      <c r="G89" s="15">
        <f t="shared" si="24"/>
        <v>0</v>
      </c>
      <c r="H89" s="4"/>
      <c r="I89" s="4"/>
    </row>
    <row r="90" spans="1:9" x14ac:dyDescent="0.25">
      <c r="A90" s="31">
        <v>3.62</v>
      </c>
      <c r="B90" t="s">
        <v>205</v>
      </c>
      <c r="C90" s="21"/>
      <c r="D90" s="34"/>
      <c r="E90" s="14">
        <f t="shared" si="23"/>
        <v>0</v>
      </c>
      <c r="F90" s="34"/>
      <c r="G90" s="15">
        <f t="shared" si="24"/>
        <v>0</v>
      </c>
      <c r="H90" s="4"/>
      <c r="I90" s="4"/>
    </row>
    <row r="91" spans="1:9" x14ac:dyDescent="0.25">
      <c r="A91" s="31">
        <v>3.63</v>
      </c>
      <c r="B91" t="s">
        <v>206</v>
      </c>
      <c r="C91" s="21"/>
      <c r="D91" s="34"/>
      <c r="E91" s="14">
        <f t="shared" si="23"/>
        <v>0</v>
      </c>
      <c r="F91" s="34"/>
      <c r="G91" s="15">
        <f t="shared" si="24"/>
        <v>0</v>
      </c>
      <c r="H91" s="4"/>
      <c r="I91" s="4"/>
    </row>
    <row r="92" spans="1:9" x14ac:dyDescent="0.25">
      <c r="A92" s="29" t="s">
        <v>207</v>
      </c>
      <c r="B92" s="1" t="s">
        <v>215</v>
      </c>
      <c r="C92" s="17">
        <f>SUM(C84:C91)</f>
        <v>433563</v>
      </c>
      <c r="D92" s="17">
        <f>SUM(D84:D91)</f>
        <v>0</v>
      </c>
      <c r="E92" s="17">
        <f>SUM(E84:E91)</f>
        <v>433563</v>
      </c>
      <c r="F92" s="17">
        <f>SUM(F84:F91)</f>
        <v>0</v>
      </c>
      <c r="G92" s="18">
        <f>SUM(G84:G91)</f>
        <v>433563</v>
      </c>
      <c r="H92" s="4"/>
      <c r="I92" s="4"/>
    </row>
    <row r="93" spans="1:9" x14ac:dyDescent="0.25">
      <c r="A93" s="29"/>
      <c r="B93" s="1"/>
      <c r="C93" s="17"/>
      <c r="D93" s="17"/>
      <c r="E93" s="17"/>
      <c r="F93" s="17"/>
      <c r="G93" s="18"/>
      <c r="H93" s="4"/>
      <c r="I93" s="4"/>
    </row>
    <row r="94" spans="1:9" x14ac:dyDescent="0.25">
      <c r="A94" s="31">
        <v>3.64</v>
      </c>
      <c r="B94" t="s">
        <v>209</v>
      </c>
      <c r="C94" s="21">
        <v>173036</v>
      </c>
      <c r="D94" s="34"/>
      <c r="E94" s="14">
        <f t="shared" ref="E94:E98" si="25">SUM(C94:D94)</f>
        <v>173036</v>
      </c>
      <c r="F94" s="34"/>
      <c r="G94" s="15">
        <f t="shared" ref="G94:G98" si="26">E94-F94</f>
        <v>173036</v>
      </c>
      <c r="H94" s="4"/>
      <c r="I94" s="4"/>
    </row>
    <row r="95" spans="1:9" x14ac:dyDescent="0.25">
      <c r="A95" s="30">
        <v>3.65</v>
      </c>
      <c r="B95" t="s">
        <v>210</v>
      </c>
      <c r="C95" s="21">
        <v>9308</v>
      </c>
      <c r="D95" s="34"/>
      <c r="E95" s="14">
        <f t="shared" si="25"/>
        <v>9308</v>
      </c>
      <c r="F95" s="34"/>
      <c r="G95" s="15">
        <f t="shared" si="26"/>
        <v>9308</v>
      </c>
      <c r="H95" s="4"/>
      <c r="I95" s="4"/>
    </row>
    <row r="96" spans="1:9" x14ac:dyDescent="0.25">
      <c r="A96" s="31">
        <v>3.66</v>
      </c>
      <c r="B96" t="s">
        <v>211</v>
      </c>
      <c r="C96" s="21">
        <v>17960</v>
      </c>
      <c r="D96" s="34"/>
      <c r="E96" s="14">
        <f t="shared" si="25"/>
        <v>17960</v>
      </c>
      <c r="F96" s="34"/>
      <c r="G96" s="15">
        <f t="shared" si="26"/>
        <v>17960</v>
      </c>
      <c r="H96" s="4"/>
      <c r="I96" s="4"/>
    </row>
    <row r="97" spans="1:9" x14ac:dyDescent="0.25">
      <c r="A97" s="31">
        <v>3.67</v>
      </c>
      <c r="B97" t="s">
        <v>212</v>
      </c>
      <c r="C97" s="21">
        <v>16105</v>
      </c>
      <c r="D97" s="34"/>
      <c r="E97" s="14">
        <f t="shared" si="25"/>
        <v>16105</v>
      </c>
      <c r="F97" s="34"/>
      <c r="G97" s="15">
        <f t="shared" si="26"/>
        <v>16105</v>
      </c>
      <c r="H97" s="4"/>
      <c r="I97" s="4"/>
    </row>
    <row r="98" spans="1:9" x14ac:dyDescent="0.25">
      <c r="A98" s="31">
        <v>3.68</v>
      </c>
      <c r="B98" t="s">
        <v>213</v>
      </c>
      <c r="C98" s="21">
        <v>11069</v>
      </c>
      <c r="D98" s="34"/>
      <c r="E98" s="14">
        <f t="shared" si="25"/>
        <v>11069</v>
      </c>
      <c r="F98" s="34"/>
      <c r="G98" s="15">
        <f t="shared" si="26"/>
        <v>11069</v>
      </c>
      <c r="H98" s="4"/>
      <c r="I98" s="4"/>
    </row>
    <row r="99" spans="1:9" x14ac:dyDescent="0.25">
      <c r="A99" s="31">
        <v>3.69</v>
      </c>
      <c r="B99" t="s">
        <v>214</v>
      </c>
      <c r="C99" s="21">
        <v>0</v>
      </c>
      <c r="D99" s="34"/>
      <c r="E99" s="14">
        <f t="shared" ref="E99" si="27">SUM(C99:D99)</f>
        <v>0</v>
      </c>
      <c r="F99" s="34"/>
      <c r="G99" s="15">
        <f t="shared" ref="G99" si="28">E99-F99</f>
        <v>0</v>
      </c>
      <c r="H99" s="4"/>
      <c r="I99" s="4"/>
    </row>
    <row r="100" spans="1:9" x14ac:dyDescent="0.25">
      <c r="A100" s="29" t="s">
        <v>208</v>
      </c>
      <c r="B100" s="1" t="s">
        <v>216</v>
      </c>
      <c r="C100" s="17">
        <f>SUM(C94:C99)</f>
        <v>227478</v>
      </c>
      <c r="D100" s="17">
        <f>SUM(D94:D99)</f>
        <v>0</v>
      </c>
      <c r="E100" s="17">
        <f>SUM(E94:E99)</f>
        <v>227478</v>
      </c>
      <c r="F100" s="17">
        <f>SUM(F94:F99)</f>
        <v>0</v>
      </c>
      <c r="G100" s="18">
        <f>SUM(G94:G99)</f>
        <v>227478</v>
      </c>
      <c r="H100" s="4"/>
      <c r="I100" s="4"/>
    </row>
    <row r="101" spans="1:9" x14ac:dyDescent="0.25">
      <c r="A101" s="29"/>
      <c r="B101" s="1"/>
      <c r="C101" s="17"/>
      <c r="D101" s="17"/>
      <c r="E101" s="17"/>
      <c r="F101" s="17"/>
      <c r="G101" s="18"/>
      <c r="H101" s="4"/>
      <c r="I101" s="4"/>
    </row>
    <row r="102" spans="1:9" x14ac:dyDescent="0.25">
      <c r="A102" s="31">
        <v>3.7</v>
      </c>
      <c r="B102" t="s">
        <v>219</v>
      </c>
      <c r="C102" s="21"/>
      <c r="D102" s="34"/>
      <c r="E102" s="14">
        <f t="shared" ref="E102:E104" si="29">SUM(C102:D102)</f>
        <v>0</v>
      </c>
      <c r="F102" s="34"/>
      <c r="G102" s="15">
        <f t="shared" ref="G102:G104" si="30">E102-F102</f>
        <v>0</v>
      </c>
      <c r="H102" s="4"/>
      <c r="I102" s="4"/>
    </row>
    <row r="103" spans="1:9" x14ac:dyDescent="0.25">
      <c r="A103" s="30">
        <v>3.71</v>
      </c>
      <c r="B103" t="s">
        <v>220</v>
      </c>
      <c r="C103" s="21"/>
      <c r="D103" s="34"/>
      <c r="E103" s="14">
        <f t="shared" si="29"/>
        <v>0</v>
      </c>
      <c r="F103" s="34"/>
      <c r="G103" s="15">
        <f t="shared" si="30"/>
        <v>0</v>
      </c>
      <c r="H103" s="4"/>
      <c r="I103" s="4"/>
    </row>
    <row r="104" spans="1:9" x14ac:dyDescent="0.25">
      <c r="A104" s="31">
        <v>3.72</v>
      </c>
      <c r="B104" t="s">
        <v>221</v>
      </c>
      <c r="C104" s="21"/>
      <c r="D104" s="34"/>
      <c r="E104" s="14">
        <f t="shared" si="29"/>
        <v>0</v>
      </c>
      <c r="F104" s="34"/>
      <c r="G104" s="15">
        <f t="shared" si="30"/>
        <v>0</v>
      </c>
      <c r="H104" s="4"/>
      <c r="I104" s="4"/>
    </row>
    <row r="105" spans="1:9" x14ac:dyDescent="0.25">
      <c r="A105" s="31">
        <v>3.73</v>
      </c>
      <c r="B105" t="s">
        <v>222</v>
      </c>
      <c r="C105" s="21"/>
      <c r="D105" s="34"/>
      <c r="E105" s="14"/>
      <c r="F105" s="34"/>
      <c r="G105" s="15"/>
      <c r="H105" s="4"/>
      <c r="I105" s="4"/>
    </row>
    <row r="106" spans="1:9" x14ac:dyDescent="0.25">
      <c r="A106" s="29" t="s">
        <v>217</v>
      </c>
      <c r="B106" s="1" t="s">
        <v>218</v>
      </c>
      <c r="C106" s="17">
        <f>SUM(C102:C105)</f>
        <v>0</v>
      </c>
      <c r="D106" s="17">
        <f>SUM(D102:D105)</f>
        <v>0</v>
      </c>
      <c r="E106" s="17">
        <f>SUM(E102:E105)</f>
        <v>0</v>
      </c>
      <c r="F106" s="17">
        <f>SUM(F102:F105)</f>
        <v>0</v>
      </c>
      <c r="G106" s="18">
        <f>SUM(G102:G105)</f>
        <v>0</v>
      </c>
      <c r="H106" s="4"/>
      <c r="I106" s="4"/>
    </row>
    <row r="107" spans="1:9" x14ac:dyDescent="0.25">
      <c r="A107" s="29"/>
      <c r="B107" s="1"/>
      <c r="C107" s="17"/>
      <c r="D107" s="17"/>
      <c r="E107" s="17"/>
      <c r="F107" s="17"/>
      <c r="G107" s="18"/>
      <c r="H107" s="4"/>
      <c r="I107" s="4"/>
    </row>
    <row r="108" spans="1:9" x14ac:dyDescent="0.25">
      <c r="A108" s="31">
        <v>3.74</v>
      </c>
      <c r="B108" t="s">
        <v>224</v>
      </c>
      <c r="C108" s="21"/>
      <c r="D108" s="34"/>
      <c r="E108" s="14">
        <f t="shared" ref="E108:E110" si="31">SUM(C108:D108)</f>
        <v>0</v>
      </c>
      <c r="F108" s="34"/>
      <c r="G108" s="15">
        <f t="shared" ref="G108:G110" si="32">E108-F108</f>
        <v>0</v>
      </c>
      <c r="H108" s="4"/>
      <c r="I108" s="4"/>
    </row>
    <row r="109" spans="1:9" x14ac:dyDescent="0.25">
      <c r="A109" s="30">
        <v>3.75</v>
      </c>
      <c r="B109" t="s">
        <v>225</v>
      </c>
      <c r="C109" s="21"/>
      <c r="D109" s="34"/>
      <c r="E109" s="14">
        <f t="shared" si="31"/>
        <v>0</v>
      </c>
      <c r="F109" s="34"/>
      <c r="G109" s="15">
        <f t="shared" si="32"/>
        <v>0</v>
      </c>
      <c r="H109" s="4"/>
      <c r="I109" s="4"/>
    </row>
    <row r="110" spans="1:9" x14ac:dyDescent="0.25">
      <c r="A110" s="31">
        <v>3.76</v>
      </c>
      <c r="B110" t="s">
        <v>226</v>
      </c>
      <c r="C110" s="21"/>
      <c r="D110" s="34"/>
      <c r="E110" s="14">
        <f t="shared" si="31"/>
        <v>0</v>
      </c>
      <c r="F110" s="34"/>
      <c r="G110" s="15">
        <f t="shared" si="32"/>
        <v>0</v>
      </c>
      <c r="H110" s="4"/>
      <c r="I110" s="4"/>
    </row>
    <row r="111" spans="1:9" x14ac:dyDescent="0.25">
      <c r="A111" s="31">
        <v>3.77</v>
      </c>
      <c r="B111" t="s">
        <v>227</v>
      </c>
      <c r="C111" s="21"/>
      <c r="D111" s="34"/>
      <c r="E111" s="14"/>
      <c r="F111" s="34"/>
      <c r="G111" s="15"/>
      <c r="H111" s="4"/>
      <c r="I111" s="4"/>
    </row>
    <row r="112" spans="1:9" x14ac:dyDescent="0.25">
      <c r="A112" s="29" t="s">
        <v>223</v>
      </c>
      <c r="B112" s="1" t="s">
        <v>228</v>
      </c>
      <c r="C112" s="17">
        <f>SUM(C108:C111)</f>
        <v>0</v>
      </c>
      <c r="D112" s="17">
        <f>SUM(D108:D111)</f>
        <v>0</v>
      </c>
      <c r="E112" s="17">
        <f>SUM(E108:E111)</f>
        <v>0</v>
      </c>
      <c r="F112" s="17">
        <f>SUM(F108:F111)</f>
        <v>0</v>
      </c>
      <c r="G112" s="18">
        <f>SUM(G108:G111)</f>
        <v>0</v>
      </c>
      <c r="H112" s="4"/>
      <c r="I112" s="4"/>
    </row>
    <row r="113" spans="1:9" x14ac:dyDescent="0.25">
      <c r="A113" s="29"/>
      <c r="B113" s="1"/>
      <c r="C113" s="17"/>
      <c r="D113" s="17"/>
      <c r="E113" s="17"/>
      <c r="F113" s="17"/>
      <c r="G113" s="18"/>
      <c r="H113" s="4"/>
      <c r="I113" s="4"/>
    </row>
    <row r="114" spans="1:9" x14ac:dyDescent="0.25">
      <c r="A114" s="31">
        <v>3.78</v>
      </c>
      <c r="B114" t="s">
        <v>229</v>
      </c>
      <c r="C114" s="21"/>
      <c r="D114" s="34"/>
      <c r="E114" s="14">
        <f t="shared" ref="E114:E130" si="33">SUM(C114:D114)</f>
        <v>0</v>
      </c>
      <c r="F114" s="34"/>
      <c r="G114" s="15">
        <f t="shared" ref="G114:G130" si="34">E114-F114</f>
        <v>0</v>
      </c>
      <c r="H114" s="4"/>
      <c r="I114" s="4"/>
    </row>
    <row r="115" spans="1:9" x14ac:dyDescent="0.25">
      <c r="A115" s="30">
        <v>3.79</v>
      </c>
      <c r="B115" t="s">
        <v>230</v>
      </c>
      <c r="C115" s="21"/>
      <c r="D115" s="34"/>
      <c r="E115" s="14">
        <f t="shared" si="33"/>
        <v>0</v>
      </c>
      <c r="F115" s="34"/>
      <c r="G115" s="15">
        <f t="shared" si="34"/>
        <v>0</v>
      </c>
      <c r="H115" s="4"/>
      <c r="I115" s="4"/>
    </row>
    <row r="116" spans="1:9" x14ac:dyDescent="0.25">
      <c r="A116" s="31">
        <v>3.8</v>
      </c>
      <c r="B116" t="s">
        <v>231</v>
      </c>
      <c r="C116" s="21"/>
      <c r="D116" s="34"/>
      <c r="E116" s="14">
        <f t="shared" si="33"/>
        <v>0</v>
      </c>
      <c r="F116" s="34"/>
      <c r="G116" s="15">
        <f t="shared" si="34"/>
        <v>0</v>
      </c>
      <c r="H116" s="4"/>
      <c r="I116" s="4"/>
    </row>
    <row r="117" spans="1:9" x14ac:dyDescent="0.25">
      <c r="A117" s="31">
        <v>3.81</v>
      </c>
      <c r="B117" t="s">
        <v>232</v>
      </c>
      <c r="C117" s="21"/>
      <c r="D117" s="34"/>
      <c r="E117" s="14">
        <f t="shared" si="33"/>
        <v>0</v>
      </c>
      <c r="F117" s="34"/>
      <c r="G117" s="15">
        <f t="shared" si="34"/>
        <v>0</v>
      </c>
      <c r="H117" s="4"/>
      <c r="I117" s="4"/>
    </row>
    <row r="118" spans="1:9" x14ac:dyDescent="0.25">
      <c r="A118" s="31">
        <v>3.82</v>
      </c>
      <c r="B118" t="s">
        <v>233</v>
      </c>
      <c r="C118" s="21">
        <v>48000</v>
      </c>
      <c r="D118" s="34"/>
      <c r="E118" s="14">
        <f t="shared" si="33"/>
        <v>48000</v>
      </c>
      <c r="F118" s="34"/>
      <c r="G118" s="15">
        <f t="shared" si="34"/>
        <v>48000</v>
      </c>
      <c r="H118" s="4"/>
      <c r="I118" s="4"/>
    </row>
    <row r="119" spans="1:9" x14ac:dyDescent="0.25">
      <c r="A119" s="31">
        <v>3.83</v>
      </c>
      <c r="B119" t="s">
        <v>234</v>
      </c>
      <c r="C119" s="21"/>
      <c r="D119" s="34"/>
      <c r="E119" s="14">
        <f t="shared" si="33"/>
        <v>0</v>
      </c>
      <c r="F119" s="34"/>
      <c r="G119" s="15">
        <f t="shared" si="34"/>
        <v>0</v>
      </c>
      <c r="H119" s="4"/>
      <c r="I119" s="4"/>
    </row>
    <row r="120" spans="1:9" x14ac:dyDescent="0.25">
      <c r="A120" s="31">
        <v>3.84</v>
      </c>
      <c r="B120" t="s">
        <v>235</v>
      </c>
      <c r="C120" s="21"/>
      <c r="D120" s="34"/>
      <c r="E120" s="14">
        <f t="shared" si="33"/>
        <v>0</v>
      </c>
      <c r="F120" s="34"/>
      <c r="G120" s="15">
        <f t="shared" si="34"/>
        <v>0</v>
      </c>
      <c r="H120" s="4"/>
      <c r="I120" s="4"/>
    </row>
    <row r="121" spans="1:9" x14ac:dyDescent="0.25">
      <c r="A121" s="31">
        <v>3.85</v>
      </c>
      <c r="B121" t="s">
        <v>236</v>
      </c>
      <c r="C121" s="21"/>
      <c r="D121" s="34"/>
      <c r="E121" s="14">
        <f t="shared" si="33"/>
        <v>0</v>
      </c>
      <c r="F121" s="34"/>
      <c r="G121" s="15">
        <f t="shared" si="34"/>
        <v>0</v>
      </c>
      <c r="H121" s="4"/>
      <c r="I121" s="4"/>
    </row>
    <row r="122" spans="1:9" x14ac:dyDescent="0.25">
      <c r="A122" s="31">
        <v>3.86</v>
      </c>
      <c r="B122" t="s">
        <v>237</v>
      </c>
      <c r="C122" s="21"/>
      <c r="D122" s="34"/>
      <c r="E122" s="14">
        <f t="shared" si="33"/>
        <v>0</v>
      </c>
      <c r="F122" s="34"/>
      <c r="G122" s="15">
        <f t="shared" si="34"/>
        <v>0</v>
      </c>
      <c r="H122" s="4"/>
      <c r="I122" s="4"/>
    </row>
    <row r="123" spans="1:9" x14ac:dyDescent="0.25">
      <c r="A123" s="31">
        <v>3.87</v>
      </c>
      <c r="B123" t="s">
        <v>238</v>
      </c>
      <c r="C123" s="21"/>
      <c r="D123" s="34"/>
      <c r="E123" s="14">
        <f t="shared" si="33"/>
        <v>0</v>
      </c>
      <c r="F123" s="34"/>
      <c r="G123" s="15">
        <f t="shared" si="34"/>
        <v>0</v>
      </c>
      <c r="H123" s="4"/>
      <c r="I123" s="4"/>
    </row>
    <row r="124" spans="1:9" x14ac:dyDescent="0.25">
      <c r="A124" s="31">
        <v>3.88</v>
      </c>
      <c r="B124" t="s">
        <v>239</v>
      </c>
      <c r="C124" s="21"/>
      <c r="D124" s="34"/>
      <c r="E124" s="14">
        <f t="shared" si="33"/>
        <v>0</v>
      </c>
      <c r="F124" s="34"/>
      <c r="G124" s="15">
        <f t="shared" si="34"/>
        <v>0</v>
      </c>
      <c r="H124" s="4"/>
      <c r="I124" s="4"/>
    </row>
    <row r="125" spans="1:9" x14ac:dyDescent="0.25">
      <c r="A125" s="31">
        <v>3.89</v>
      </c>
      <c r="B125" t="s">
        <v>240</v>
      </c>
      <c r="C125" s="21">
        <v>94118</v>
      </c>
      <c r="D125" s="34">
        <f>50277+17173</f>
        <v>67450</v>
      </c>
      <c r="E125" s="14">
        <f t="shared" si="33"/>
        <v>161568</v>
      </c>
      <c r="F125" s="34"/>
      <c r="G125" s="15">
        <f t="shared" si="34"/>
        <v>161568</v>
      </c>
      <c r="H125" s="4"/>
      <c r="I125" s="4"/>
    </row>
    <row r="126" spans="1:9" x14ac:dyDescent="0.25">
      <c r="A126" s="31">
        <v>3.9</v>
      </c>
      <c r="B126" t="s">
        <v>241</v>
      </c>
      <c r="C126" s="21">
        <v>5211</v>
      </c>
      <c r="D126" s="34"/>
      <c r="E126" s="14">
        <f t="shared" si="33"/>
        <v>5211</v>
      </c>
      <c r="F126" s="34">
        <f>E126</f>
        <v>5211</v>
      </c>
      <c r="G126" s="15">
        <f t="shared" si="34"/>
        <v>0</v>
      </c>
      <c r="H126" s="4"/>
      <c r="I126" s="4"/>
    </row>
    <row r="127" spans="1:9" x14ac:dyDescent="0.25">
      <c r="A127" s="31">
        <v>3.91</v>
      </c>
      <c r="B127" t="s">
        <v>242</v>
      </c>
      <c r="C127" s="21">
        <v>115661</v>
      </c>
      <c r="D127" s="34"/>
      <c r="E127" s="14">
        <f t="shared" si="33"/>
        <v>115661</v>
      </c>
      <c r="F127" s="34">
        <f>E127</f>
        <v>115661</v>
      </c>
      <c r="G127" s="15">
        <f t="shared" si="34"/>
        <v>0</v>
      </c>
      <c r="H127" s="4"/>
      <c r="I127" s="4"/>
    </row>
    <row r="128" spans="1:9" x14ac:dyDescent="0.25">
      <c r="A128" s="31">
        <v>3.92</v>
      </c>
      <c r="B128" t="s">
        <v>243</v>
      </c>
      <c r="C128" s="21">
        <v>0</v>
      </c>
      <c r="D128" s="34">
        <v>15004</v>
      </c>
      <c r="E128" s="14">
        <f t="shared" si="33"/>
        <v>15004</v>
      </c>
      <c r="F128" s="34"/>
      <c r="G128" s="15">
        <f t="shared" si="34"/>
        <v>15004</v>
      </c>
      <c r="H128" s="4"/>
      <c r="I128" s="4"/>
    </row>
    <row r="129" spans="1:9" x14ac:dyDescent="0.25">
      <c r="A129" s="31">
        <v>3.93</v>
      </c>
      <c r="C129" s="21"/>
      <c r="D129" s="34"/>
      <c r="E129" s="14">
        <f t="shared" si="33"/>
        <v>0</v>
      </c>
      <c r="F129" s="34"/>
      <c r="G129" s="15">
        <f t="shared" si="34"/>
        <v>0</v>
      </c>
      <c r="H129" s="4"/>
      <c r="I129" s="4"/>
    </row>
    <row r="130" spans="1:9" x14ac:dyDescent="0.25">
      <c r="A130" s="31">
        <v>3.94</v>
      </c>
      <c r="C130" s="21"/>
      <c r="D130" s="34"/>
      <c r="E130" s="14">
        <f t="shared" si="33"/>
        <v>0</v>
      </c>
      <c r="F130" s="34"/>
      <c r="G130" s="15">
        <f t="shared" si="34"/>
        <v>0</v>
      </c>
      <c r="H130" s="4"/>
      <c r="I130" s="4"/>
    </row>
    <row r="131" spans="1:9" x14ac:dyDescent="0.25">
      <c r="A131" s="31">
        <v>3.95</v>
      </c>
      <c r="C131" s="21"/>
      <c r="D131" s="34"/>
      <c r="E131" s="14">
        <f t="shared" ref="E131" si="35">SUM(C131:D131)</f>
        <v>0</v>
      </c>
      <c r="F131" s="34"/>
      <c r="G131" s="15">
        <f t="shared" ref="G131" si="36">E131-F131</f>
        <v>0</v>
      </c>
      <c r="H131" s="4"/>
      <c r="I131" s="4"/>
    </row>
    <row r="132" spans="1:9" x14ac:dyDescent="0.25">
      <c r="A132" s="29" t="s">
        <v>245</v>
      </c>
      <c r="B132" s="1" t="s">
        <v>244</v>
      </c>
      <c r="C132" s="17">
        <f>SUM(C114:C131)</f>
        <v>262990</v>
      </c>
      <c r="D132" s="17">
        <f>SUM(D114:D131)</f>
        <v>82454</v>
      </c>
      <c r="E132" s="17">
        <f>SUM(E114:E131)</f>
        <v>345444</v>
      </c>
      <c r="F132" s="17">
        <f>SUM(F114:F131)</f>
        <v>120872</v>
      </c>
      <c r="G132" s="18">
        <f>SUM(G114:G131)</f>
        <v>224572</v>
      </c>
      <c r="H132" s="4"/>
      <c r="I132" s="4"/>
    </row>
    <row r="133" spans="1:9" x14ac:dyDescent="0.25">
      <c r="A133" s="29" t="s">
        <v>246</v>
      </c>
      <c r="B133" s="1" t="s">
        <v>247</v>
      </c>
      <c r="C133" s="17">
        <f>C132+C112+C106+C92+C100+C82+C76+C70+C64+C58+C52+C45+C36+C28+C21+C11</f>
        <v>4212473</v>
      </c>
      <c r="D133" s="17">
        <f>D132+D112+D106+D92+D100+D82+D76+D70+D64+D58+D52+D45+D36+D28+D21+D11</f>
        <v>518317</v>
      </c>
      <c r="E133" s="17">
        <f>E132+E112+E106+E92+E100+E82+E76+E70+E64+E58+E52+E45+E36+E28+E21+E11</f>
        <v>4730790</v>
      </c>
      <c r="F133" s="17">
        <f>F132+F112+F106+F92+F100+F82+F76+F70+F64+F58+F52+F45+F36+F28+F21+F11</f>
        <v>120872</v>
      </c>
      <c r="G133" s="17">
        <f>G132+G112+G106+G92+G100+G82+G76+G70+G64+G58+G52+G45+G36+G28+G21+G11</f>
        <v>4609918</v>
      </c>
      <c r="H133" s="28"/>
      <c r="I133" s="4"/>
    </row>
    <row r="134" spans="1:9" x14ac:dyDescent="0.25">
      <c r="A134" s="29"/>
      <c r="B134" s="1"/>
      <c r="C134" s="17"/>
      <c r="D134" s="17"/>
      <c r="E134" s="17"/>
      <c r="F134" s="17"/>
      <c r="G134" s="18"/>
      <c r="H134" s="4"/>
      <c r="I134" s="4"/>
    </row>
    <row r="135" spans="1:9" x14ac:dyDescent="0.25">
      <c r="A135" s="43" t="s">
        <v>248</v>
      </c>
      <c r="B135" s="1"/>
      <c r="C135" s="17"/>
      <c r="D135" s="17"/>
      <c r="E135" s="17"/>
      <c r="F135" s="17"/>
      <c r="G135" s="18"/>
      <c r="H135" s="4"/>
      <c r="I135" s="4"/>
    </row>
    <row r="136" spans="1:9" x14ac:dyDescent="0.25">
      <c r="A136" s="29">
        <v>3.96</v>
      </c>
      <c r="B136" t="s">
        <v>250</v>
      </c>
      <c r="C136" s="17"/>
      <c r="D136" s="17"/>
      <c r="E136" s="17"/>
      <c r="F136" s="17"/>
      <c r="G136" s="18"/>
      <c r="H136" s="4"/>
      <c r="I136" s="4"/>
    </row>
    <row r="137" spans="1:9" x14ac:dyDescent="0.25">
      <c r="A137" s="29">
        <v>3.97</v>
      </c>
      <c r="B137" t="s">
        <v>251</v>
      </c>
      <c r="C137" s="17"/>
      <c r="D137" s="17"/>
      <c r="E137" s="17"/>
      <c r="F137" s="17"/>
      <c r="G137" s="18"/>
      <c r="H137" s="4"/>
      <c r="I137" s="4"/>
    </row>
    <row r="138" spans="1:9" x14ac:dyDescent="0.25">
      <c r="A138" s="29">
        <v>3.98</v>
      </c>
      <c r="B138" t="s">
        <v>252</v>
      </c>
      <c r="C138" s="17"/>
      <c r="D138" s="17"/>
      <c r="E138" s="17"/>
      <c r="F138" s="17"/>
      <c r="G138" s="18"/>
      <c r="H138" s="4"/>
      <c r="I138" s="4"/>
    </row>
    <row r="139" spans="1:9" x14ac:dyDescent="0.25">
      <c r="A139" s="29" t="s">
        <v>249</v>
      </c>
      <c r="B139" s="1" t="s">
        <v>253</v>
      </c>
      <c r="C139" s="17">
        <f>SUM(C136:C138)</f>
        <v>0</v>
      </c>
      <c r="D139" s="17">
        <f>SUM(D136:D138)</f>
        <v>0</v>
      </c>
      <c r="E139" s="17">
        <f>SUM(E136:E138)</f>
        <v>0</v>
      </c>
      <c r="F139" s="17">
        <f>SUM(F136:F138)</f>
        <v>0</v>
      </c>
      <c r="G139" s="17">
        <f>SUM(G136:G138)</f>
        <v>0</v>
      </c>
      <c r="H139" s="28"/>
      <c r="I139" s="4"/>
    </row>
    <row r="140" spans="1:9" x14ac:dyDescent="0.25">
      <c r="A140" s="29">
        <v>300</v>
      </c>
      <c r="B140" s="1" t="s">
        <v>254</v>
      </c>
      <c r="C140" s="17">
        <f>C133-C139</f>
        <v>4212473</v>
      </c>
      <c r="D140" s="17">
        <f>D133-D139</f>
        <v>518317</v>
      </c>
      <c r="E140" s="17">
        <f>E133-E139</f>
        <v>4730790</v>
      </c>
      <c r="F140" s="17">
        <f>F133-F139</f>
        <v>120872</v>
      </c>
      <c r="G140" s="17">
        <f>G133-G139</f>
        <v>4609918</v>
      </c>
      <c r="H140" s="28"/>
      <c r="I140" s="4"/>
    </row>
    <row r="141" spans="1:9" x14ac:dyDescent="0.25">
      <c r="A141" s="29"/>
      <c r="B141" s="1"/>
      <c r="C141" s="17"/>
      <c r="D141" s="17"/>
      <c r="E141" s="17"/>
      <c r="F141" s="17"/>
      <c r="G141" s="18"/>
      <c r="H141" s="4"/>
      <c r="I141" s="4"/>
    </row>
    <row r="142" spans="1:9" x14ac:dyDescent="0.25">
      <c r="A142" s="32"/>
      <c r="B142" s="25"/>
      <c r="C142" s="26"/>
      <c r="D142" s="26"/>
      <c r="E142" s="26"/>
      <c r="F142" s="26"/>
      <c r="G142" s="27"/>
      <c r="H142" s="1"/>
    </row>
    <row r="143" spans="1:9" x14ac:dyDescent="0.25">
      <c r="A143" s="33"/>
    </row>
    <row r="144" spans="1:9" x14ac:dyDescent="0.25">
      <c r="A144" s="33"/>
    </row>
    <row r="145" spans="1:1" x14ac:dyDescent="0.25">
      <c r="A145" s="33"/>
    </row>
    <row r="146" spans="1:1" x14ac:dyDescent="0.25">
      <c r="A146" s="33"/>
    </row>
    <row r="147" spans="1:1" x14ac:dyDescent="0.25">
      <c r="A147" s="33"/>
    </row>
    <row r="148" spans="1:1" x14ac:dyDescent="0.25">
      <c r="A148" s="33"/>
    </row>
    <row r="149" spans="1:1" x14ac:dyDescent="0.25">
      <c r="A149" s="33"/>
    </row>
    <row r="150" spans="1:1" x14ac:dyDescent="0.25">
      <c r="A150" s="33"/>
    </row>
    <row r="151" spans="1:1" x14ac:dyDescent="0.25">
      <c r="A151" s="33"/>
    </row>
    <row r="152" spans="1:1" x14ac:dyDescent="0.25">
      <c r="A152" s="33"/>
    </row>
    <row r="153" spans="1:1" x14ac:dyDescent="0.25">
      <c r="A153" s="33"/>
    </row>
    <row r="154" spans="1:1" x14ac:dyDescent="0.25">
      <c r="A154" s="33"/>
    </row>
    <row r="155" spans="1:1" x14ac:dyDescent="0.25">
      <c r="A155" s="33"/>
    </row>
    <row r="156" spans="1:1" x14ac:dyDescent="0.25">
      <c r="A156" s="33"/>
    </row>
    <row r="157" spans="1:1" x14ac:dyDescent="0.25">
      <c r="A157" s="33"/>
    </row>
    <row r="158" spans="1:1" x14ac:dyDescent="0.25">
      <c r="A158" s="33"/>
    </row>
    <row r="159" spans="1:1" x14ac:dyDescent="0.25">
      <c r="A159" s="1"/>
    </row>
    <row r="160" spans="1:1" x14ac:dyDescent="0.25">
      <c r="A160" s="1"/>
    </row>
    <row r="161" spans="1:1" x14ac:dyDescent="0.25">
      <c r="A161" s="1"/>
    </row>
    <row r="162" spans="1:1" x14ac:dyDescent="0.25">
      <c r="A162" s="1"/>
    </row>
    <row r="163" spans="1:1" x14ac:dyDescent="0.25">
      <c r="A163" s="1"/>
    </row>
    <row r="164" spans="1:1" x14ac:dyDescent="0.25">
      <c r="A164" s="1"/>
    </row>
    <row r="165" spans="1:1" x14ac:dyDescent="0.25">
      <c r="A165" s="1"/>
    </row>
    <row r="166" spans="1:1" x14ac:dyDescent="0.25">
      <c r="A166" s="1"/>
    </row>
    <row r="167" spans="1:1" x14ac:dyDescent="0.25">
      <c r="A167" s="1"/>
    </row>
    <row r="168" spans="1:1" x14ac:dyDescent="0.25">
      <c r="A168" s="1"/>
    </row>
    <row r="169" spans="1:1" x14ac:dyDescent="0.25">
      <c r="A169" s="1"/>
    </row>
    <row r="170" spans="1:1" x14ac:dyDescent="0.25">
      <c r="A170" s="1"/>
    </row>
    <row r="171" spans="1:1" x14ac:dyDescent="0.25">
      <c r="A171" s="1"/>
    </row>
    <row r="172" spans="1:1" x14ac:dyDescent="0.25">
      <c r="A172" s="1"/>
    </row>
    <row r="173" spans="1:1" x14ac:dyDescent="0.25">
      <c r="A173" s="1"/>
    </row>
    <row r="174" spans="1:1" x14ac:dyDescent="0.25">
      <c r="A174" s="1"/>
    </row>
    <row r="175" spans="1:1" x14ac:dyDescent="0.25">
      <c r="A175" s="1"/>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1"/>
    </row>
    <row r="184" spans="1:1" x14ac:dyDescent="0.25">
      <c r="A184" s="1"/>
    </row>
    <row r="185" spans="1:1" x14ac:dyDescent="0.25">
      <c r="A185" s="1"/>
    </row>
    <row r="186" spans="1:1" x14ac:dyDescent="0.25">
      <c r="A186" s="1"/>
    </row>
    <row r="187" spans="1:1" x14ac:dyDescent="0.25">
      <c r="A187" s="1"/>
    </row>
    <row r="188" spans="1:1" x14ac:dyDescent="0.25">
      <c r="A188" s="1"/>
    </row>
    <row r="189" spans="1:1" x14ac:dyDescent="0.25">
      <c r="A189" s="1"/>
    </row>
    <row r="190" spans="1:1" x14ac:dyDescent="0.25">
      <c r="A190" s="1"/>
    </row>
    <row r="191" spans="1:1" x14ac:dyDescent="0.25">
      <c r="A191" s="1"/>
    </row>
    <row r="192" spans="1:1" x14ac:dyDescent="0.25">
      <c r="A192" s="1"/>
    </row>
    <row r="193" spans="1:1" x14ac:dyDescent="0.25">
      <c r="A193" s="1"/>
    </row>
    <row r="194" spans="1:1" x14ac:dyDescent="0.25">
      <c r="A194" s="1"/>
    </row>
    <row r="195" spans="1:1" x14ac:dyDescent="0.25">
      <c r="A195" s="1"/>
    </row>
    <row r="196" spans="1:1" x14ac:dyDescent="0.25">
      <c r="A196" s="1"/>
    </row>
    <row r="197" spans="1:1" x14ac:dyDescent="0.25">
      <c r="A197" s="1"/>
    </row>
    <row r="198" spans="1:1" x14ac:dyDescent="0.25">
      <c r="A198" s="1"/>
    </row>
    <row r="199" spans="1:1" x14ac:dyDescent="0.25">
      <c r="A199" s="1"/>
    </row>
    <row r="200" spans="1:1" x14ac:dyDescent="0.25">
      <c r="A200" s="1"/>
    </row>
    <row r="201" spans="1:1" x14ac:dyDescent="0.25">
      <c r="A201" s="1"/>
    </row>
    <row r="202" spans="1:1" x14ac:dyDescent="0.25">
      <c r="A202" s="1"/>
    </row>
    <row r="203" spans="1:1" x14ac:dyDescent="0.25">
      <c r="A203" s="1"/>
    </row>
    <row r="204" spans="1:1" x14ac:dyDescent="0.25">
      <c r="A204" s="1"/>
    </row>
    <row r="205" spans="1:1" x14ac:dyDescent="0.25">
      <c r="A205" s="1"/>
    </row>
    <row r="206" spans="1:1" x14ac:dyDescent="0.25">
      <c r="A206" s="1"/>
    </row>
    <row r="207" spans="1:1" x14ac:dyDescent="0.25">
      <c r="A207" s="1"/>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FFE8C-AD38-4158-8858-2F3F7A4E3BCA}">
  <dimension ref="A1:K96"/>
  <sheetViews>
    <sheetView zoomScale="115" zoomScaleNormal="115" workbookViewId="0">
      <pane ySplit="6" topLeftCell="A7" activePane="bottomLeft" state="frozen"/>
      <selection pane="bottomLeft" activeCell="A3" sqref="A3"/>
    </sheetView>
  </sheetViews>
  <sheetFormatPr defaultRowHeight="13.2" x14ac:dyDescent="0.25"/>
  <cols>
    <col min="1" max="1" width="10.109375" bestFit="1" customWidth="1"/>
    <col min="2" max="2" width="46.88671875" bestFit="1" customWidth="1"/>
    <col min="3" max="3" width="12.5546875" customWidth="1"/>
    <col min="4" max="4" width="9.5546875" bestFit="1" customWidth="1"/>
    <col min="5" max="5" width="11.44140625" bestFit="1" customWidth="1"/>
    <col min="6" max="6" width="12.77734375" customWidth="1"/>
    <col min="7" max="7" width="11.44140625" bestFit="1" customWidth="1"/>
  </cols>
  <sheetData>
    <row r="1" spans="1:11" x14ac:dyDescent="0.25">
      <c r="A1" t="s">
        <v>285</v>
      </c>
    </row>
    <row r="2" spans="1:11" x14ac:dyDescent="0.25">
      <c r="A2" t="s">
        <v>0</v>
      </c>
    </row>
    <row r="3" spans="1:11" x14ac:dyDescent="0.25">
      <c r="A3" s="175">
        <v>44926</v>
      </c>
    </row>
    <row r="5" spans="1:11" x14ac:dyDescent="0.25">
      <c r="A5" s="1" t="s">
        <v>255</v>
      </c>
      <c r="B5" s="1"/>
      <c r="C5" s="1"/>
      <c r="D5" s="1"/>
      <c r="E5" s="1"/>
      <c r="F5" s="1"/>
      <c r="G5" s="1"/>
      <c r="H5" s="1"/>
      <c r="I5" s="1"/>
      <c r="J5" s="1"/>
    </row>
    <row r="6" spans="1:11" ht="81.599999999999994" customHeight="1" x14ac:dyDescent="0.25">
      <c r="A6" s="6" t="s">
        <v>2</v>
      </c>
      <c r="B6" s="6" t="s">
        <v>3</v>
      </c>
      <c r="C6" s="6" t="s">
        <v>4</v>
      </c>
      <c r="D6" s="6" t="s">
        <v>5</v>
      </c>
      <c r="E6" s="6" t="s">
        <v>6</v>
      </c>
      <c r="F6" s="6" t="s">
        <v>7</v>
      </c>
      <c r="G6" s="6" t="s">
        <v>8</v>
      </c>
      <c r="H6" s="2"/>
      <c r="I6" s="2"/>
      <c r="J6" s="1"/>
    </row>
    <row r="7" spans="1:11" x14ac:dyDescent="0.25">
      <c r="A7" s="9">
        <v>4.0999999999999996</v>
      </c>
      <c r="B7" s="10" t="s">
        <v>257</v>
      </c>
      <c r="C7" s="11">
        <v>7837021</v>
      </c>
      <c r="D7" s="40"/>
      <c r="E7" s="11">
        <f>SUM(C7:D7)</f>
        <v>7837021</v>
      </c>
      <c r="F7" s="40"/>
      <c r="G7" s="12">
        <f>E7-F7</f>
        <v>7837021</v>
      </c>
      <c r="H7" s="5"/>
      <c r="I7" s="3"/>
      <c r="J7" s="3"/>
      <c r="K7" s="4"/>
    </row>
    <row r="8" spans="1:11" x14ac:dyDescent="0.25">
      <c r="A8" s="13">
        <v>4.2</v>
      </c>
      <c r="B8" t="s">
        <v>258</v>
      </c>
      <c r="C8" s="14">
        <v>165756</v>
      </c>
      <c r="D8" s="41"/>
      <c r="E8" s="14">
        <f t="shared" ref="E8:E22" si="0">SUM(C8:D8)</f>
        <v>165756</v>
      </c>
      <c r="F8" s="41"/>
      <c r="G8" s="15">
        <f t="shared" ref="G8:G22" si="1">E8-F8</f>
        <v>165756</v>
      </c>
      <c r="H8" s="5"/>
      <c r="I8" s="3"/>
      <c r="J8" s="3"/>
      <c r="K8" s="4"/>
    </row>
    <row r="9" spans="1:11" x14ac:dyDescent="0.25">
      <c r="A9" s="13">
        <v>4.3</v>
      </c>
      <c r="B9" t="s">
        <v>259</v>
      </c>
      <c r="C9" s="14"/>
      <c r="D9" s="41"/>
      <c r="E9" s="14">
        <f t="shared" si="0"/>
        <v>0</v>
      </c>
      <c r="F9" s="41"/>
      <c r="G9" s="15">
        <f t="shared" si="1"/>
        <v>0</v>
      </c>
      <c r="H9" s="5"/>
      <c r="I9" s="4"/>
      <c r="J9" s="4"/>
      <c r="K9" s="4"/>
    </row>
    <row r="10" spans="1:11" x14ac:dyDescent="0.25">
      <c r="A10" s="30">
        <v>4.4000000000000004</v>
      </c>
      <c r="B10" t="s">
        <v>260</v>
      </c>
      <c r="C10" s="14"/>
      <c r="D10" s="41"/>
      <c r="E10" s="14">
        <f t="shared" si="0"/>
        <v>0</v>
      </c>
      <c r="F10" s="41"/>
      <c r="G10" s="15">
        <f t="shared" si="1"/>
        <v>0</v>
      </c>
      <c r="H10" s="5"/>
      <c r="I10" s="4"/>
      <c r="J10" s="4"/>
      <c r="K10" s="4"/>
    </row>
    <row r="11" spans="1:11" x14ac:dyDescent="0.25">
      <c r="A11" s="30">
        <v>4.5</v>
      </c>
      <c r="B11" t="s">
        <v>261</v>
      </c>
      <c r="C11" s="14"/>
      <c r="D11" s="41"/>
      <c r="E11" s="14">
        <f t="shared" si="0"/>
        <v>0</v>
      </c>
      <c r="F11" s="41"/>
      <c r="G11" s="15">
        <f t="shared" si="1"/>
        <v>0</v>
      </c>
      <c r="H11" s="5"/>
      <c r="I11" s="4"/>
      <c r="J11" s="4"/>
      <c r="K11" s="4"/>
    </row>
    <row r="12" spans="1:11" x14ac:dyDescent="0.25">
      <c r="A12" s="30">
        <v>4.5999999999999996</v>
      </c>
      <c r="B12" t="s">
        <v>262</v>
      </c>
      <c r="C12" s="14">
        <v>82560</v>
      </c>
      <c r="D12" s="41"/>
      <c r="E12" s="14">
        <f t="shared" si="0"/>
        <v>82560</v>
      </c>
      <c r="F12" s="41"/>
      <c r="G12" s="15">
        <f t="shared" si="1"/>
        <v>82560</v>
      </c>
      <c r="H12" s="5"/>
      <c r="I12" s="4"/>
      <c r="J12" s="4"/>
      <c r="K12" s="4"/>
    </row>
    <row r="13" spans="1:11" x14ac:dyDescent="0.25">
      <c r="A13" s="30">
        <v>4.7</v>
      </c>
      <c r="B13" t="s">
        <v>263</v>
      </c>
      <c r="C13" s="14"/>
      <c r="D13" s="41"/>
      <c r="E13" s="14">
        <f t="shared" si="0"/>
        <v>0</v>
      </c>
      <c r="F13" s="41"/>
      <c r="G13" s="15">
        <f t="shared" si="1"/>
        <v>0</v>
      </c>
      <c r="H13" s="5"/>
      <c r="I13" s="4"/>
      <c r="J13" s="4"/>
      <c r="K13" s="4"/>
    </row>
    <row r="14" spans="1:11" x14ac:dyDescent="0.25">
      <c r="A14" s="30">
        <v>4.8</v>
      </c>
      <c r="B14" t="s">
        <v>264</v>
      </c>
      <c r="C14" s="14">
        <v>249432</v>
      </c>
      <c r="D14" s="41">
        <v>-132892</v>
      </c>
      <c r="E14" s="14">
        <f t="shared" si="0"/>
        <v>116540</v>
      </c>
      <c r="F14" s="41"/>
      <c r="G14" s="15">
        <f t="shared" si="1"/>
        <v>116540</v>
      </c>
      <c r="H14" s="5"/>
      <c r="I14" s="4"/>
      <c r="J14" s="4"/>
      <c r="K14" s="4"/>
    </row>
    <row r="15" spans="1:11" x14ac:dyDescent="0.25">
      <c r="A15" s="30">
        <v>4.9000000000000004</v>
      </c>
      <c r="B15" t="s">
        <v>265</v>
      </c>
      <c r="C15" s="14"/>
      <c r="D15" s="41"/>
      <c r="E15" s="14">
        <f t="shared" si="0"/>
        <v>0</v>
      </c>
      <c r="F15" s="41"/>
      <c r="G15" s="15">
        <f t="shared" si="1"/>
        <v>0</v>
      </c>
      <c r="H15" s="5"/>
      <c r="I15" s="4"/>
      <c r="J15" s="4"/>
      <c r="K15" s="4"/>
    </row>
    <row r="16" spans="1:11" x14ac:dyDescent="0.25">
      <c r="A16" s="31">
        <v>4.0999999999999996</v>
      </c>
      <c r="B16" t="s">
        <v>269</v>
      </c>
      <c r="C16" s="14">
        <v>17848</v>
      </c>
      <c r="D16" s="41"/>
      <c r="E16" s="14">
        <f t="shared" si="0"/>
        <v>17848</v>
      </c>
      <c r="F16" s="41"/>
      <c r="G16" s="15">
        <f t="shared" si="1"/>
        <v>17848</v>
      </c>
      <c r="H16" s="5"/>
      <c r="I16" s="4"/>
      <c r="J16" s="4"/>
      <c r="K16" s="4"/>
    </row>
    <row r="17" spans="1:11" x14ac:dyDescent="0.25">
      <c r="A17" s="30">
        <v>4.1100000000000003</v>
      </c>
      <c r="B17" t="s">
        <v>270</v>
      </c>
      <c r="C17" s="14"/>
      <c r="D17" s="41"/>
      <c r="E17" s="14">
        <f t="shared" si="0"/>
        <v>0</v>
      </c>
      <c r="F17" s="41"/>
      <c r="G17" s="15">
        <f t="shared" si="1"/>
        <v>0</v>
      </c>
      <c r="H17" s="5"/>
      <c r="I17" s="4"/>
      <c r="J17" s="4"/>
      <c r="K17" s="4"/>
    </row>
    <row r="18" spans="1:11" x14ac:dyDescent="0.25">
      <c r="A18" s="30">
        <v>4.12</v>
      </c>
      <c r="B18" t="s">
        <v>266</v>
      </c>
      <c r="C18" s="14">
        <v>14971</v>
      </c>
      <c r="D18" s="41">
        <v>-6365</v>
      </c>
      <c r="E18" s="14">
        <f t="shared" si="0"/>
        <v>8606</v>
      </c>
      <c r="F18" s="41"/>
      <c r="G18" s="15">
        <f t="shared" si="1"/>
        <v>8606</v>
      </c>
      <c r="H18" s="5"/>
      <c r="I18" s="4"/>
      <c r="J18" s="4"/>
      <c r="K18" s="4"/>
    </row>
    <row r="19" spans="1:11" x14ac:dyDescent="0.25">
      <c r="A19" s="30">
        <v>4.13</v>
      </c>
      <c r="B19" t="s">
        <v>267</v>
      </c>
      <c r="C19" s="14"/>
      <c r="D19" s="41"/>
      <c r="E19" s="14">
        <f t="shared" si="0"/>
        <v>0</v>
      </c>
      <c r="F19" s="41"/>
      <c r="G19" s="15">
        <f t="shared" si="1"/>
        <v>0</v>
      </c>
      <c r="H19" s="5"/>
      <c r="I19" s="4"/>
      <c r="J19" s="4"/>
      <c r="K19" s="4"/>
    </row>
    <row r="20" spans="1:11" x14ac:dyDescent="0.25">
      <c r="A20" s="30">
        <v>4.1399999999999997</v>
      </c>
      <c r="B20" t="s">
        <v>282</v>
      </c>
      <c r="C20" s="14">
        <v>64660</v>
      </c>
      <c r="D20" s="41">
        <v>43107</v>
      </c>
      <c r="E20" s="14">
        <f t="shared" si="0"/>
        <v>107767</v>
      </c>
      <c r="F20" s="41"/>
      <c r="G20" s="15">
        <f t="shared" si="1"/>
        <v>107767</v>
      </c>
      <c r="H20" s="5"/>
      <c r="I20" s="4"/>
      <c r="J20" s="4"/>
      <c r="K20" s="4"/>
    </row>
    <row r="21" spans="1:11" x14ac:dyDescent="0.25">
      <c r="A21" s="30">
        <v>4.1500000000000004</v>
      </c>
      <c r="C21" s="14"/>
      <c r="D21" s="41"/>
      <c r="E21" s="14">
        <f t="shared" si="0"/>
        <v>0</v>
      </c>
      <c r="F21" s="41"/>
      <c r="G21" s="15">
        <f t="shared" si="1"/>
        <v>0</v>
      </c>
      <c r="H21" s="5"/>
      <c r="I21" s="4"/>
      <c r="J21" s="4"/>
      <c r="K21" s="4"/>
    </row>
    <row r="22" spans="1:11" x14ac:dyDescent="0.25">
      <c r="A22" s="30">
        <v>4.16</v>
      </c>
      <c r="C22" s="14"/>
      <c r="D22" s="41"/>
      <c r="E22" s="14">
        <f t="shared" si="0"/>
        <v>0</v>
      </c>
      <c r="F22" s="41"/>
      <c r="G22" s="15">
        <f t="shared" si="1"/>
        <v>0</v>
      </c>
      <c r="H22" s="5"/>
      <c r="I22" s="4"/>
      <c r="J22" s="4"/>
      <c r="K22" s="4"/>
    </row>
    <row r="23" spans="1:11" x14ac:dyDescent="0.25">
      <c r="A23" s="29" t="s">
        <v>256</v>
      </c>
      <c r="B23" s="1" t="s">
        <v>268</v>
      </c>
      <c r="C23" s="17">
        <f>SUM(C7:C22)</f>
        <v>8432248</v>
      </c>
      <c r="D23" s="17">
        <f>SUM(D7:D22)</f>
        <v>-96150</v>
      </c>
      <c r="E23" s="17">
        <f>SUM(E7:E22)</f>
        <v>8336098</v>
      </c>
      <c r="F23" s="17">
        <f>SUM(F7:F22)</f>
        <v>0</v>
      </c>
      <c r="G23" s="18">
        <f>SUM(G7:G22)</f>
        <v>8336098</v>
      </c>
      <c r="H23" s="5"/>
      <c r="I23" s="4"/>
      <c r="J23" s="4"/>
      <c r="K23" s="4"/>
    </row>
    <row r="24" spans="1:11" x14ac:dyDescent="0.25">
      <c r="A24" s="29"/>
      <c r="B24" s="1"/>
      <c r="C24" s="17"/>
      <c r="D24" s="17"/>
      <c r="E24" s="17"/>
      <c r="F24" s="17"/>
      <c r="G24" s="18"/>
      <c r="H24" s="5"/>
      <c r="I24" s="4"/>
      <c r="J24" s="4"/>
      <c r="K24" s="4"/>
    </row>
    <row r="25" spans="1:11" x14ac:dyDescent="0.25">
      <c r="A25" s="44" t="s">
        <v>271</v>
      </c>
      <c r="C25" s="14"/>
      <c r="D25" s="14"/>
      <c r="E25" s="14"/>
      <c r="F25" s="14"/>
      <c r="G25" s="15"/>
      <c r="H25" s="5"/>
      <c r="I25" s="4"/>
      <c r="J25" s="4"/>
      <c r="K25" s="4"/>
    </row>
    <row r="26" spans="1:11" x14ac:dyDescent="0.25">
      <c r="A26" s="30">
        <v>4.17</v>
      </c>
      <c r="B26" t="s">
        <v>273</v>
      </c>
      <c r="C26" s="14"/>
      <c r="D26" s="41"/>
      <c r="E26" s="14">
        <f t="shared" ref="E26:E27" si="2">SUM(C26:D26)</f>
        <v>0</v>
      </c>
      <c r="F26" s="41"/>
      <c r="G26" s="15">
        <f t="shared" ref="G26:G27" si="3">E26-F26</f>
        <v>0</v>
      </c>
      <c r="H26" s="5"/>
      <c r="I26" s="4"/>
      <c r="J26" s="4"/>
      <c r="K26" s="4"/>
    </row>
    <row r="27" spans="1:11" x14ac:dyDescent="0.25">
      <c r="A27" s="30">
        <v>4.18</v>
      </c>
      <c r="B27" t="s">
        <v>274</v>
      </c>
      <c r="C27" s="14"/>
      <c r="D27" s="41"/>
      <c r="E27" s="14">
        <f t="shared" si="2"/>
        <v>0</v>
      </c>
      <c r="F27" s="41"/>
      <c r="G27" s="15">
        <f t="shared" si="3"/>
        <v>0</v>
      </c>
      <c r="H27" s="5"/>
      <c r="I27" s="4"/>
      <c r="J27" s="4"/>
      <c r="K27" s="4"/>
    </row>
    <row r="28" spans="1:11" x14ac:dyDescent="0.25">
      <c r="A28" s="29" t="s">
        <v>272</v>
      </c>
      <c r="B28" s="1" t="s">
        <v>275</v>
      </c>
      <c r="C28" s="17">
        <f>SUM(C25:C27)</f>
        <v>0</v>
      </c>
      <c r="D28" s="17">
        <f>SUM(D25:D27)</f>
        <v>0</v>
      </c>
      <c r="E28" s="17">
        <f>SUM(E25:E27)</f>
        <v>0</v>
      </c>
      <c r="F28" s="17">
        <f>SUM(F25:F27)</f>
        <v>0</v>
      </c>
      <c r="G28" s="18">
        <f>SUM(G25:G27)</f>
        <v>0</v>
      </c>
      <c r="H28" s="5"/>
      <c r="I28" s="4"/>
      <c r="J28" s="4"/>
      <c r="K28" s="4"/>
    </row>
    <row r="29" spans="1:11" x14ac:dyDescent="0.25">
      <c r="A29" s="29" t="s">
        <v>276</v>
      </c>
      <c r="B29" s="1" t="s">
        <v>277</v>
      </c>
      <c r="C29" s="17">
        <f>C23-C28</f>
        <v>8432248</v>
      </c>
      <c r="D29" s="17">
        <f>D23-D28</f>
        <v>-96150</v>
      </c>
      <c r="E29" s="17">
        <f>E23-E28</f>
        <v>8336098</v>
      </c>
      <c r="F29" s="17">
        <f>F23-F28</f>
        <v>0</v>
      </c>
      <c r="G29" s="18">
        <f>G23-G28</f>
        <v>8336098</v>
      </c>
      <c r="H29" s="5"/>
      <c r="I29" s="4"/>
      <c r="J29" s="4"/>
      <c r="K29" s="4"/>
    </row>
    <row r="30" spans="1:11" x14ac:dyDescent="0.25">
      <c r="A30" s="30"/>
      <c r="G30" s="20"/>
    </row>
    <row r="31" spans="1:11" x14ac:dyDescent="0.25">
      <c r="A31" s="32"/>
      <c r="B31" s="25"/>
      <c r="C31" s="26"/>
      <c r="D31" s="26"/>
      <c r="E31" s="26"/>
      <c r="F31" s="26"/>
      <c r="G31" s="27"/>
      <c r="H31" s="1"/>
    </row>
    <row r="32" spans="1:11" x14ac:dyDescent="0.25">
      <c r="A32" s="33"/>
    </row>
    <row r="33" spans="1:7" x14ac:dyDescent="0.25">
      <c r="A33" s="33" t="s">
        <v>278</v>
      </c>
    </row>
    <row r="34" spans="1:7" x14ac:dyDescent="0.25">
      <c r="A34" s="33">
        <v>500</v>
      </c>
      <c r="B34" s="1" t="s">
        <v>279</v>
      </c>
      <c r="C34" s="7">
        <f>'Table 1'!C41+'Table 2'!C40+'Table 3'!C133+'Table 4'!C23</f>
        <v>52464663</v>
      </c>
      <c r="D34" s="7">
        <f>'Table 1'!D41+'Table 2'!D40+'Table 3'!D133+'Table 4'!D23</f>
        <v>0</v>
      </c>
      <c r="E34" s="7">
        <f>'Table 1'!E41+'Table 2'!E40+'Table 3'!E133+'Table 4'!E23</f>
        <v>52464663</v>
      </c>
      <c r="F34" s="7">
        <f>'Table 1'!F41+'Table 2'!F40+'Table 3'!F133+'Table 4'!F23</f>
        <v>31757497</v>
      </c>
      <c r="G34" s="7">
        <f>'Table 1'!G41+'Table 2'!G40+'Table 3'!G133+'Table 4'!G23</f>
        <v>20707166</v>
      </c>
    </row>
    <row r="35" spans="1:7" x14ac:dyDescent="0.25">
      <c r="A35" s="33"/>
    </row>
    <row r="36" spans="1:7" x14ac:dyDescent="0.25">
      <c r="A36" s="33"/>
    </row>
    <row r="37" spans="1:7" x14ac:dyDescent="0.25">
      <c r="A37" s="33" t="s">
        <v>280</v>
      </c>
    </row>
    <row r="38" spans="1:7" x14ac:dyDescent="0.25">
      <c r="A38" s="33">
        <v>600</v>
      </c>
      <c r="B38" s="1" t="s">
        <v>281</v>
      </c>
      <c r="C38" s="7">
        <f>'Table 1'!C47+'Table 2'!C45+'Table 3'!C140+'Table 4'!C29</f>
        <v>52464663</v>
      </c>
      <c r="D38" s="7">
        <f>'Table 1'!D47+'Table 2'!D45+'Table 3'!D140+'Table 4'!D29</f>
        <v>0</v>
      </c>
      <c r="E38" s="7">
        <f>'Table 1'!E47+'Table 2'!E45+'Table 3'!E140+'Table 4'!E29</f>
        <v>52464663</v>
      </c>
      <c r="F38" s="7">
        <f>'Table 1'!F47+'Table 2'!F45+'Table 3'!F140+'Table 4'!F29</f>
        <v>31757497</v>
      </c>
      <c r="G38" s="7">
        <f>'Table 1'!G47+'Table 2'!G45+'Table 3'!G140+'Table 4'!G29</f>
        <v>20707166</v>
      </c>
    </row>
    <row r="39" spans="1:7" x14ac:dyDescent="0.25">
      <c r="A39" s="33"/>
    </row>
    <row r="40" spans="1:7" x14ac:dyDescent="0.25">
      <c r="A40" s="33"/>
      <c r="C40" s="7"/>
    </row>
    <row r="41" spans="1:7" x14ac:dyDescent="0.25">
      <c r="A41" s="33"/>
      <c r="E41" s="7"/>
    </row>
    <row r="42" spans="1:7" x14ac:dyDescent="0.25">
      <c r="A42" s="33"/>
    </row>
    <row r="43" spans="1:7" x14ac:dyDescent="0.25">
      <c r="A43" s="33"/>
    </row>
    <row r="44" spans="1:7" x14ac:dyDescent="0.25">
      <c r="A44" s="33"/>
    </row>
    <row r="45" spans="1:7" x14ac:dyDescent="0.25">
      <c r="A45" s="33"/>
    </row>
    <row r="46" spans="1:7" x14ac:dyDescent="0.25">
      <c r="A46" s="33"/>
    </row>
    <row r="47" spans="1:7" x14ac:dyDescent="0.25">
      <c r="A47" s="33"/>
    </row>
    <row r="48" spans="1:7" x14ac:dyDescent="0.25">
      <c r="A48" s="1"/>
    </row>
    <row r="49" spans="1:1" x14ac:dyDescent="0.25">
      <c r="A49" s="1"/>
    </row>
    <row r="50" spans="1:1" x14ac:dyDescent="0.25">
      <c r="A50" s="1"/>
    </row>
    <row r="51" spans="1:1" x14ac:dyDescent="0.25">
      <c r="A51" s="1"/>
    </row>
    <row r="52" spans="1:1" x14ac:dyDescent="0.25">
      <c r="A52" s="1"/>
    </row>
    <row r="53" spans="1:1" x14ac:dyDescent="0.25">
      <c r="A53" s="1"/>
    </row>
    <row r="54" spans="1:1" x14ac:dyDescent="0.25">
      <c r="A54" s="1"/>
    </row>
    <row r="55" spans="1:1" x14ac:dyDescent="0.25">
      <c r="A55" s="1"/>
    </row>
    <row r="56" spans="1:1" x14ac:dyDescent="0.25">
      <c r="A56" s="1"/>
    </row>
    <row r="57" spans="1:1" x14ac:dyDescent="0.25">
      <c r="A57" s="1"/>
    </row>
    <row r="58" spans="1:1" x14ac:dyDescent="0.25">
      <c r="A58" s="1"/>
    </row>
    <row r="59" spans="1:1" x14ac:dyDescent="0.25">
      <c r="A59" s="1"/>
    </row>
    <row r="60" spans="1:1" x14ac:dyDescent="0.25">
      <c r="A60" s="1"/>
    </row>
    <row r="61" spans="1:1" x14ac:dyDescent="0.25">
      <c r="A61" s="1"/>
    </row>
    <row r="62" spans="1:1" x14ac:dyDescent="0.25">
      <c r="A62" s="1"/>
    </row>
    <row r="63" spans="1:1" x14ac:dyDescent="0.25">
      <c r="A63" s="1"/>
    </row>
    <row r="64" spans="1:1" x14ac:dyDescent="0.25">
      <c r="A64" s="1"/>
    </row>
    <row r="65" spans="1:1" x14ac:dyDescent="0.25">
      <c r="A65" s="1"/>
    </row>
    <row r="66" spans="1:1" x14ac:dyDescent="0.25">
      <c r="A66" s="1"/>
    </row>
    <row r="67" spans="1:1" x14ac:dyDescent="0.25">
      <c r="A67" s="1"/>
    </row>
    <row r="68" spans="1:1" x14ac:dyDescent="0.25">
      <c r="A68" s="1"/>
    </row>
    <row r="69" spans="1:1" x14ac:dyDescent="0.25">
      <c r="A69" s="1"/>
    </row>
    <row r="70" spans="1:1" x14ac:dyDescent="0.25">
      <c r="A70" s="1"/>
    </row>
    <row r="71" spans="1:1" x14ac:dyDescent="0.25">
      <c r="A71" s="1"/>
    </row>
    <row r="72" spans="1:1" x14ac:dyDescent="0.25">
      <c r="A72" s="1"/>
    </row>
    <row r="73" spans="1:1" x14ac:dyDescent="0.25">
      <c r="A73" s="1"/>
    </row>
    <row r="74" spans="1:1" x14ac:dyDescent="0.25">
      <c r="A74" s="1"/>
    </row>
    <row r="75" spans="1:1" x14ac:dyDescent="0.25">
      <c r="A75" s="1"/>
    </row>
    <row r="76" spans="1:1" x14ac:dyDescent="0.25">
      <c r="A76" s="1"/>
    </row>
    <row r="77" spans="1:1" x14ac:dyDescent="0.25">
      <c r="A77" s="1"/>
    </row>
    <row r="78" spans="1:1" x14ac:dyDescent="0.25">
      <c r="A78" s="1"/>
    </row>
    <row r="79" spans="1:1" x14ac:dyDescent="0.25">
      <c r="A79" s="1"/>
    </row>
    <row r="80" spans="1:1"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row r="87" spans="1:1" x14ac:dyDescent="0.25">
      <c r="A87" s="1"/>
    </row>
    <row r="88" spans="1:1" x14ac:dyDescent="0.25">
      <c r="A88" s="1"/>
    </row>
    <row r="89" spans="1:1" x14ac:dyDescent="0.25">
      <c r="A89" s="1"/>
    </row>
    <row r="90" spans="1:1" x14ac:dyDescent="0.25">
      <c r="A90" s="1"/>
    </row>
    <row r="91" spans="1:1" x14ac:dyDescent="0.25">
      <c r="A91" s="1"/>
    </row>
    <row r="92" spans="1:1" x14ac:dyDescent="0.25">
      <c r="A92" s="1"/>
    </row>
    <row r="93" spans="1:1" x14ac:dyDescent="0.25">
      <c r="A93" s="1"/>
    </row>
    <row r="94" spans="1:1" x14ac:dyDescent="0.25">
      <c r="A94" s="1"/>
    </row>
    <row r="95" spans="1:1" x14ac:dyDescent="0.25">
      <c r="A95" s="1"/>
    </row>
    <row r="96" spans="1:1" x14ac:dyDescent="0.25">
      <c r="A96" s="1"/>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07F81-783E-43E8-B735-2BF6393C64F9}">
  <dimension ref="A1:J28"/>
  <sheetViews>
    <sheetView workbookViewId="0"/>
  </sheetViews>
  <sheetFormatPr defaultRowHeight="13.2" x14ac:dyDescent="0.25"/>
  <cols>
    <col min="1" max="1" width="17.44140625" style="46" customWidth="1"/>
    <col min="2" max="2" width="13.21875" style="46" bestFit="1" customWidth="1"/>
    <col min="3" max="4" width="9.44140625" style="46" bestFit="1" customWidth="1"/>
    <col min="5" max="6" width="8.88671875" style="46"/>
    <col min="7" max="7" width="10.44140625" style="46" bestFit="1" customWidth="1"/>
    <col min="8" max="9" width="8.88671875" style="46"/>
    <col min="10" max="10" width="10.44140625" style="46" bestFit="1" customWidth="1"/>
    <col min="11" max="16384" width="8.88671875" style="46"/>
  </cols>
  <sheetData>
    <row r="1" spans="1:10" x14ac:dyDescent="0.25">
      <c r="A1" s="45" t="s">
        <v>440</v>
      </c>
    </row>
    <row r="2" spans="1:10" x14ac:dyDescent="0.25">
      <c r="A2" s="47">
        <v>44926</v>
      </c>
    </row>
    <row r="4" spans="1:10" x14ac:dyDescent="0.25">
      <c r="B4" s="48" t="s">
        <v>441</v>
      </c>
      <c r="C4" s="48" t="s">
        <v>442</v>
      </c>
      <c r="D4" s="48" t="s">
        <v>443</v>
      </c>
      <c r="E4" s="49"/>
      <c r="F4" s="49"/>
      <c r="G4" s="48" t="s">
        <v>444</v>
      </c>
      <c r="H4" s="48" t="s">
        <v>445</v>
      </c>
      <c r="I4" s="48" t="s">
        <v>446</v>
      </c>
      <c r="J4" s="48" t="s">
        <v>447</v>
      </c>
    </row>
    <row r="5" spans="1:10" x14ac:dyDescent="0.25">
      <c r="A5" s="46" t="s">
        <v>448</v>
      </c>
      <c r="B5" s="50">
        <f>'BT Allocation - 10-72 Wages'!N30</f>
        <v>131744.00417516872</v>
      </c>
      <c r="C5" s="51">
        <f>'BT Allocation - 10-72 Wages'!C85</f>
        <v>18042.935778908784</v>
      </c>
      <c r="D5" s="51">
        <f>'BT Allocation - 10-72 Wages'!D85</f>
        <v>12838.265305825944</v>
      </c>
      <c r="E5" s="51"/>
      <c r="F5" s="51"/>
      <c r="G5" s="51">
        <f>+'BT Allocation - 10-72 Wages'!H30+'BT Allocation - 10-72 Wages'!J30+'BT Allocation - 10-72 Wages'!L30</f>
        <v>131744.00417516872</v>
      </c>
      <c r="H5" s="51">
        <f>+'BT Allocation - 10-72 Wages'!I30</f>
        <v>0</v>
      </c>
      <c r="I5" s="51">
        <f>+'BT Allocation - 10-72 Wages'!K30</f>
        <v>0</v>
      </c>
      <c r="J5" s="52">
        <f>SUM(G5:I5)</f>
        <v>131744.00417516872</v>
      </c>
    </row>
    <row r="6" spans="1:10" x14ac:dyDescent="0.25">
      <c r="A6" s="46" t="s">
        <v>449</v>
      </c>
      <c r="B6" s="50">
        <f>'BT Allocation - 10-72 Wages'!N32+'BT Allocation - 10-72 Wages'!N35</f>
        <v>1327581.7297239373</v>
      </c>
      <c r="C6" s="51">
        <f>'BT Allocation - 10-72 Wages'!C86</f>
        <v>181818.30771450337</v>
      </c>
      <c r="D6" s="51">
        <f>'BT Allocation - 10-72 Wages'!D86</f>
        <v>129370.94608648357</v>
      </c>
      <c r="E6" s="51"/>
      <c r="F6" s="51"/>
      <c r="G6" s="51">
        <f>'BT Allocation - 10-72 Wages'!H32+'BT Allocation - 10-72 Wages'!H35+'BT Allocation - 10-72 Wages'!J32+'BT Allocation - 10-72 Wages'!J35+'BT Allocation - 10-72 Wages'!L32+'BT Allocation - 10-72 Wages'!L35</f>
        <v>1203704.1320703574</v>
      </c>
      <c r="H6" s="51">
        <f>'BT Allocation - 10-72 Wages'!I32+'BT Allocation - 10-72 Wages'!I35</f>
        <v>80819.63450648963</v>
      </c>
      <c r="I6" s="51">
        <f>'BT Allocation - 10-72 Wages'!K32+'BT Allocation - 10-72 Wages'!K35</f>
        <v>43057.963147090231</v>
      </c>
      <c r="J6" s="52">
        <f>SUM(G6:I6)</f>
        <v>1327581.7297239373</v>
      </c>
    </row>
    <row r="7" spans="1:10" x14ac:dyDescent="0.25">
      <c r="A7" s="53" t="s">
        <v>450</v>
      </c>
      <c r="B7" s="50">
        <f>'BT Allocation - 10-72 Wages'!N36</f>
        <v>102366.40634251591</v>
      </c>
      <c r="C7" s="51">
        <f>'BT Allocation - 10-72 Wages'!C87</f>
        <v>14019.541208872857</v>
      </c>
      <c r="D7" s="51">
        <f>'BT Allocation - 10-72 Wages'!D87</f>
        <v>9975.4602970911237</v>
      </c>
      <c r="E7" s="51"/>
      <c r="F7" s="51"/>
      <c r="G7" s="51">
        <f>'BT Allocation - 10-72 Wages'!H36+'BT Allocation - 10-72 Wages'!J36+'BT Allocation - 10-72 Wages'!L36</f>
        <v>102366.40634251591</v>
      </c>
      <c r="H7" s="51">
        <f>'BT Allocation - 10-72 Wages'!I36</f>
        <v>0</v>
      </c>
      <c r="I7" s="51">
        <f>'BT Allocation - 10-72 Wages'!K36</f>
        <v>0</v>
      </c>
      <c r="J7" s="52">
        <f>SUM(G7:I7)</f>
        <v>102366.40634251591</v>
      </c>
    </row>
    <row r="8" spans="1:10" x14ac:dyDescent="0.25">
      <c r="A8" s="46" t="s">
        <v>451</v>
      </c>
      <c r="B8" s="50">
        <f>'BT Allocation - 10-72 Wages'!N38</f>
        <v>673130.90414527385</v>
      </c>
      <c r="C8" s="51">
        <f>'BT Allocation - 10-72 Wages'!C88</f>
        <v>92188.314377810108</v>
      </c>
      <c r="D8" s="51">
        <f>'BT Allocation - 10-72 Wages'!D88</f>
        <v>65595.646550086734</v>
      </c>
      <c r="E8" s="51"/>
      <c r="F8" s="51"/>
      <c r="G8" s="51">
        <f>+'BT Allocation - 10-72 Wages'!H38+'BT Allocation - 10-72 Wages'!J38+'BT Allocation - 10-72 Wages'!L38</f>
        <v>579722.62751880381</v>
      </c>
      <c r="H8" s="51">
        <f>+'BT Allocation - 10-72 Wages'!I38</f>
        <v>64634.987972581541</v>
      </c>
      <c r="I8" s="51">
        <f>+'BT Allocation - 10-72 Wages'!K38</f>
        <v>28773.28865388847</v>
      </c>
      <c r="J8" s="52">
        <f t="shared" ref="J8:J13" si="0">SUM(G8:I8)</f>
        <v>673130.90414527385</v>
      </c>
    </row>
    <row r="9" spans="1:10" x14ac:dyDescent="0.25">
      <c r="A9" s="46" t="s">
        <v>452</v>
      </c>
      <c r="B9" s="50">
        <f>'BT Allocation - 10-72 Wages'!N40</f>
        <v>2846523.3567548525</v>
      </c>
      <c r="C9" s="51">
        <f>'BT Allocation - 10-72 Wages'!C89</f>
        <v>389844.21674934938</v>
      </c>
      <c r="D9" s="51">
        <f>'BT Allocation - 10-72 Wages'!D89</f>
        <v>277389.64123679616</v>
      </c>
      <c r="E9" s="51"/>
      <c r="F9" s="51"/>
      <c r="G9" s="51">
        <f>+'BT Allocation - 10-72 Wages'!H40+'BT Allocation - 10-72 Wages'!J40+'BT Allocation - 10-72 Wages'!L40</f>
        <v>2423776.4256395041</v>
      </c>
      <c r="H9" s="51">
        <f>+'BT Allocation - 10-72 Wages'!I40</f>
        <v>234006.5209512818</v>
      </c>
      <c r="I9" s="51">
        <f>+'BT Allocation - 10-72 Wages'!K40</f>
        <v>188740.41016406653</v>
      </c>
      <c r="J9" s="52">
        <f t="shared" si="0"/>
        <v>2846523.3567548525</v>
      </c>
    </row>
    <row r="10" spans="1:10" x14ac:dyDescent="0.25">
      <c r="A10" s="46" t="s">
        <v>453</v>
      </c>
      <c r="B10" s="50">
        <f>'BT Allocation - 10-72 Wages'!N44</f>
        <v>354749.33082582935</v>
      </c>
      <c r="C10" s="51">
        <f>'BT Allocation - 10-72 Wages'!C90</f>
        <v>48584.521426802981</v>
      </c>
      <c r="D10" s="51">
        <f>'BT Allocation - 10-72 Wages'!D90</f>
        <v>34569.816324625019</v>
      </c>
      <c r="E10" s="51"/>
      <c r="F10" s="51"/>
      <c r="G10" s="51">
        <f>+'BT Allocation - 10-72 Wages'!H44+'BT Allocation - 10-72 Wages'!J44+'BT Allocation - 10-72 Wages'!L44</f>
        <v>349663.43812999903</v>
      </c>
      <c r="H10" s="51">
        <f>+'BT Allocation - 10-72 Wages'!I44</f>
        <v>5085.8926958303109</v>
      </c>
      <c r="I10" s="51">
        <f>+'BT Allocation - 10-72 Wages'!K44</f>
        <v>0</v>
      </c>
      <c r="J10" s="52">
        <f t="shared" si="0"/>
        <v>354749.33082582935</v>
      </c>
    </row>
    <row r="11" spans="1:10" x14ac:dyDescent="0.25">
      <c r="A11" s="46" t="s">
        <v>454</v>
      </c>
      <c r="B11" s="50">
        <f>'BT Allocation - 10-72 Wages'!N48</f>
        <v>166391.32599370056</v>
      </c>
      <c r="C11" s="51">
        <f>'BT Allocation - 10-72 Wages'!C91</f>
        <v>22788.042824932381</v>
      </c>
      <c r="D11" s="51">
        <f>'BT Allocation - 10-72 Wages'!D91</f>
        <v>16214.597400994508</v>
      </c>
      <c r="E11" s="51"/>
      <c r="F11" s="51"/>
      <c r="G11" s="51">
        <f>+'BT Allocation - 10-72 Wages'!H48+'BT Allocation - 10-72 Wages'!J48+'BT Allocation - 10-72 Wages'!L48</f>
        <v>138379.02408492911</v>
      </c>
      <c r="H11" s="51">
        <f>+'BT Allocation - 10-72 Wages'!I48</f>
        <v>26504.96387381669</v>
      </c>
      <c r="I11" s="51">
        <f>+'BT Allocation - 10-72 Wages'!K48</f>
        <v>1507.338034954756</v>
      </c>
      <c r="J11" s="52">
        <f t="shared" si="0"/>
        <v>166391.32599370056</v>
      </c>
    </row>
    <row r="12" spans="1:10" x14ac:dyDescent="0.25">
      <c r="A12" s="46" t="s">
        <v>455</v>
      </c>
      <c r="B12" s="50">
        <f>'BT Allocation - 10-72 Wages'!N50</f>
        <v>52124.660853967798</v>
      </c>
      <c r="C12" s="51">
        <f>'BT Allocation - 10-72 Wages'!C92</f>
        <v>7138.7074817846251</v>
      </c>
      <c r="D12" s="51">
        <f>'BT Allocation - 10-72 Wages'!D92</f>
        <v>5079.4738569633391</v>
      </c>
      <c r="E12" s="51"/>
      <c r="F12" s="51"/>
      <c r="G12" s="51">
        <f>+'BT Allocation - 10-72 Wages'!H50+'BT Allocation - 10-72 Wages'!J50+'BT Allocation - 10-72 Wages'!L50</f>
        <v>52124.660853967798</v>
      </c>
      <c r="H12" s="51">
        <f>+'BT Allocation - 10-72 Wages'!I50</f>
        <v>0</v>
      </c>
      <c r="I12" s="51">
        <f>+'BT Allocation - 10-72 Wages'!K50</f>
        <v>0</v>
      </c>
      <c r="J12" s="52">
        <f t="shared" si="0"/>
        <v>52124.660853967798</v>
      </c>
    </row>
    <row r="13" spans="1:10" x14ac:dyDescent="0.25">
      <c r="A13" s="46" t="s">
        <v>456</v>
      </c>
      <c r="B13" s="54">
        <f>'BT Allocation - 10-72 Wages'!N52</f>
        <v>77868.281184754931</v>
      </c>
      <c r="C13" s="55">
        <f>'BT Allocation - 10-72 Wages'!C93</f>
        <v>10664.41243703564</v>
      </c>
      <c r="D13" s="55">
        <f>'BT Allocation - 10-72 Wages'!D93</f>
        <v>7588.1529411337096</v>
      </c>
      <c r="E13" s="56" t="s">
        <v>457</v>
      </c>
      <c r="F13" s="51"/>
      <c r="G13" s="51">
        <f>+'BT Allocation - 10-72 Wages'!H52+'BT Allocation - 10-72 Wages'!J52+'BT Allocation - 10-72 Wages'!L52</f>
        <v>77868.281184754931</v>
      </c>
      <c r="H13" s="51">
        <f>+'BT Allocation - 10-72 Wages'!I52</f>
        <v>0</v>
      </c>
      <c r="I13" s="51">
        <f>+'BT Allocation - 10-72 Wages'!K52</f>
        <v>0</v>
      </c>
      <c r="J13" s="52">
        <f t="shared" si="0"/>
        <v>77868.281184754931</v>
      </c>
    </row>
    <row r="14" spans="1:10" x14ac:dyDescent="0.25">
      <c r="B14" s="51">
        <f>SUM(B5:B13)</f>
        <v>5732480.0000000009</v>
      </c>
      <c r="C14" s="51">
        <f>SUM(C5:C13)</f>
        <v>785089</v>
      </c>
      <c r="D14" s="51">
        <f>SUM(D5:D13)</f>
        <v>558622.00000000012</v>
      </c>
      <c r="E14" s="51"/>
      <c r="F14" s="51"/>
      <c r="G14" s="51"/>
      <c r="H14" s="51"/>
      <c r="I14" s="51"/>
    </row>
    <row r="15" spans="1:10" x14ac:dyDescent="0.25">
      <c r="B15" s="51"/>
      <c r="C15" s="51"/>
      <c r="D15" s="51"/>
      <c r="E15" s="51"/>
      <c r="F15" s="51"/>
      <c r="G15" s="51"/>
      <c r="H15" s="51"/>
      <c r="I15" s="51"/>
    </row>
    <row r="16" spans="1:10" x14ac:dyDescent="0.25">
      <c r="B16" s="51"/>
      <c r="C16" s="51"/>
      <c r="D16" s="51"/>
      <c r="E16" s="51"/>
      <c r="F16" s="51"/>
      <c r="G16" s="51"/>
    </row>
    <row r="17" spans="1:7" x14ac:dyDescent="0.25">
      <c r="B17" s="51"/>
      <c r="C17" s="51"/>
      <c r="D17" s="51"/>
      <c r="E17" s="51"/>
      <c r="F17" s="51"/>
      <c r="G17" s="51"/>
    </row>
    <row r="18" spans="1:7" x14ac:dyDescent="0.25">
      <c r="A18" s="57" t="s">
        <v>457</v>
      </c>
      <c r="B18" s="58" t="s">
        <v>458</v>
      </c>
      <c r="C18" s="51"/>
      <c r="D18" s="51"/>
      <c r="E18" s="51"/>
      <c r="F18" s="51"/>
      <c r="G18" s="51"/>
    </row>
    <row r="19" spans="1:7" x14ac:dyDescent="0.25">
      <c r="B19" s="58" t="s">
        <v>459</v>
      </c>
      <c r="C19" s="51"/>
      <c r="D19" s="51"/>
      <c r="E19" s="51"/>
      <c r="F19" s="51"/>
      <c r="G19" s="51"/>
    </row>
    <row r="20" spans="1:7" x14ac:dyDescent="0.25">
      <c r="B20" s="58" t="s">
        <v>460</v>
      </c>
      <c r="C20" s="51"/>
      <c r="D20" s="51"/>
      <c r="E20" s="51"/>
      <c r="F20" s="51"/>
      <c r="G20" s="51"/>
    </row>
    <row r="21" spans="1:7" x14ac:dyDescent="0.25">
      <c r="B21" s="58" t="s">
        <v>461</v>
      </c>
      <c r="C21" s="51"/>
      <c r="D21" s="51"/>
      <c r="E21" s="51"/>
      <c r="F21" s="51"/>
      <c r="G21" s="51"/>
    </row>
    <row r="22" spans="1:7" x14ac:dyDescent="0.25">
      <c r="B22" s="51"/>
      <c r="C22" s="51"/>
      <c r="D22" s="51"/>
      <c r="E22" s="51"/>
      <c r="F22" s="51"/>
      <c r="G22" s="51"/>
    </row>
    <row r="23" spans="1:7" x14ac:dyDescent="0.25">
      <c r="A23" s="53"/>
      <c r="B23" s="53" t="s">
        <v>441</v>
      </c>
      <c r="C23" s="53" t="s">
        <v>442</v>
      </c>
      <c r="D23" s="53" t="s">
        <v>443</v>
      </c>
    </row>
    <row r="24" spans="1:7" x14ac:dyDescent="0.25">
      <c r="A24" s="53" t="s">
        <v>462</v>
      </c>
      <c r="B24" s="51">
        <v>101247</v>
      </c>
      <c r="C24" s="51">
        <f>5060+747</f>
        <v>5807</v>
      </c>
      <c r="D24" s="51">
        <f>3395+772</f>
        <v>4167</v>
      </c>
      <c r="E24" s="51"/>
    </row>
    <row r="25" spans="1:7" x14ac:dyDescent="0.25">
      <c r="A25" s="53" t="s">
        <v>463</v>
      </c>
      <c r="B25" s="51">
        <f>101247-59215+B13</f>
        <v>119900.28118475493</v>
      </c>
      <c r="C25" s="51">
        <f>C24+C13</f>
        <v>16471.41243703564</v>
      </c>
      <c r="D25" s="51">
        <f>D24+D13</f>
        <v>11755.152941133711</v>
      </c>
      <c r="E25" s="51"/>
    </row>
    <row r="26" spans="1:7" x14ac:dyDescent="0.25">
      <c r="B26" s="51"/>
      <c r="C26" s="51"/>
      <c r="D26" s="51"/>
      <c r="E26" s="51"/>
    </row>
    <row r="27" spans="1:7" x14ac:dyDescent="0.25">
      <c r="B27" s="51"/>
      <c r="C27" s="51"/>
      <c r="D27" s="51"/>
      <c r="E27" s="51"/>
    </row>
    <row r="28" spans="1:7" x14ac:dyDescent="0.25">
      <c r="B28" s="51"/>
      <c r="C28" s="51"/>
      <c r="D28" s="51"/>
      <c r="E28" s="5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4E34-624E-43E4-944A-88EB00CDBA4A}">
  <dimension ref="A1:AB149"/>
  <sheetViews>
    <sheetView topLeftCell="A26" workbookViewId="0">
      <pane xSplit="1" topLeftCell="B1" activePane="topRight" state="frozen"/>
      <selection activeCell="C80" sqref="C80"/>
      <selection pane="topRight" activeCell="A21" sqref="A21"/>
    </sheetView>
  </sheetViews>
  <sheetFormatPr defaultRowHeight="13.2" x14ac:dyDescent="0.25"/>
  <cols>
    <col min="1" max="1" width="31" style="46" bestFit="1" customWidth="1"/>
    <col min="2" max="2" width="26.44140625" style="46" customWidth="1"/>
    <col min="3" max="3" width="15" style="46" customWidth="1"/>
    <col min="4" max="4" width="12.21875" style="46" customWidth="1"/>
    <col min="5" max="5" width="11.88671875" style="46" customWidth="1"/>
    <col min="6" max="6" width="12" style="46" customWidth="1"/>
    <col min="7" max="7" width="9.5546875" style="46" customWidth="1"/>
    <col min="8" max="8" width="12.5546875" style="46" customWidth="1"/>
    <col min="9" max="9" width="11.21875" style="46" customWidth="1"/>
    <col min="10" max="10" width="10.21875" style="46" customWidth="1"/>
    <col min="11" max="11" width="12.33203125" style="46" bestFit="1" customWidth="1"/>
    <col min="12" max="12" width="9.6640625" style="46" customWidth="1"/>
    <col min="13" max="13" width="11.109375" style="46" customWidth="1"/>
    <col min="14" max="14" width="10.44140625" style="46" bestFit="1" customWidth="1"/>
    <col min="15" max="15" width="9.21875" style="46" customWidth="1"/>
    <col min="16" max="16" width="9.77734375" style="46" customWidth="1"/>
    <col min="17" max="17" width="11.88671875" style="46" customWidth="1"/>
    <col min="18" max="18" width="10.5546875" style="46" customWidth="1"/>
    <col min="19" max="19" width="10.5546875" style="57" customWidth="1"/>
    <col min="20" max="20" width="10.44140625" style="57" bestFit="1" customWidth="1"/>
    <col min="21" max="21" width="8.88671875" style="57"/>
    <col min="22" max="26" width="8.88671875" style="46"/>
    <col min="27" max="27" width="9.5546875" style="46" bestFit="1" customWidth="1"/>
    <col min="28" max="16384" width="8.88671875" style="46"/>
  </cols>
  <sheetData>
    <row r="1" spans="1:28" x14ac:dyDescent="0.25">
      <c r="A1" s="59" t="s">
        <v>464</v>
      </c>
    </row>
    <row r="2" spans="1:28" x14ac:dyDescent="0.25">
      <c r="A2" s="59" t="s">
        <v>465</v>
      </c>
    </row>
    <row r="3" spans="1:28" x14ac:dyDescent="0.25">
      <c r="A3" s="59"/>
    </row>
    <row r="5" spans="1:28" ht="40.799999999999997" customHeight="1" x14ac:dyDescent="0.25">
      <c r="A5" s="46" t="s">
        <v>466</v>
      </c>
      <c r="B5" s="60" t="s">
        <v>467</v>
      </c>
      <c r="C5" s="60" t="s">
        <v>468</v>
      </c>
      <c r="D5" s="60" t="s">
        <v>469</v>
      </c>
      <c r="E5" s="60" t="s">
        <v>470</v>
      </c>
      <c r="F5" s="61" t="s">
        <v>471</v>
      </c>
      <c r="G5" s="60" t="s">
        <v>472</v>
      </c>
      <c r="H5" s="60" t="s">
        <v>473</v>
      </c>
      <c r="I5" s="60" t="s">
        <v>474</v>
      </c>
      <c r="J5" s="60" t="s">
        <v>475</v>
      </c>
      <c r="K5" s="62" t="s">
        <v>476</v>
      </c>
      <c r="L5" s="63" t="s">
        <v>477</v>
      </c>
      <c r="M5" s="60" t="s">
        <v>478</v>
      </c>
      <c r="N5" s="60" t="s">
        <v>479</v>
      </c>
      <c r="O5" s="60" t="s">
        <v>480</v>
      </c>
      <c r="P5" s="60" t="s">
        <v>481</v>
      </c>
      <c r="Q5" s="60" t="s">
        <v>482</v>
      </c>
      <c r="R5" s="62" t="s">
        <v>483</v>
      </c>
      <c r="S5" s="64" t="s">
        <v>484</v>
      </c>
      <c r="T5" s="65" t="s">
        <v>485</v>
      </c>
      <c r="U5" s="65" t="s">
        <v>486</v>
      </c>
      <c r="Y5" s="53" t="s">
        <v>487</v>
      </c>
      <c r="Z5" s="53" t="s">
        <v>488</v>
      </c>
      <c r="AA5" s="53" t="s">
        <v>489</v>
      </c>
      <c r="AB5" s="53" t="s">
        <v>490</v>
      </c>
    </row>
    <row r="6" spans="1:28" x14ac:dyDescent="0.25">
      <c r="A6" s="46" t="s">
        <v>491</v>
      </c>
      <c r="B6" s="66">
        <v>1239.68</v>
      </c>
      <c r="C6" s="66"/>
      <c r="D6" s="66"/>
      <c r="E6" s="66"/>
      <c r="F6" s="66">
        <v>4290.03</v>
      </c>
      <c r="G6" s="66"/>
      <c r="H6" s="66">
        <v>856.09</v>
      </c>
      <c r="I6" s="66"/>
      <c r="J6" s="66"/>
      <c r="K6" s="66"/>
      <c r="L6" s="66"/>
      <c r="M6" s="66"/>
      <c r="N6" s="66">
        <v>312.95999999999998</v>
      </c>
      <c r="O6" s="66"/>
      <c r="P6" s="66"/>
      <c r="Q6" s="66">
        <v>38285.519999999997</v>
      </c>
      <c r="R6" s="66">
        <v>1193.68</v>
      </c>
      <c r="S6" s="67">
        <v>0</v>
      </c>
      <c r="T6" s="67">
        <f>SUM(B6:S6)</f>
        <v>46177.96</v>
      </c>
      <c r="U6" s="67" t="s">
        <v>453</v>
      </c>
      <c r="V6" s="53" t="s">
        <v>492</v>
      </c>
      <c r="Y6" s="46">
        <f>F6/$F$23</f>
        <v>1.0331809398090093E-2</v>
      </c>
      <c r="Z6" s="46">
        <f>(K6+R6)/($K$23+$R$23)</f>
        <v>8.3334659784757431E-3</v>
      </c>
      <c r="AA6" s="46">
        <f>L6/$L$23</f>
        <v>0</v>
      </c>
      <c r="AB6" s="46">
        <f>S6/$S$23</f>
        <v>0</v>
      </c>
    </row>
    <row r="7" spans="1:28" x14ac:dyDescent="0.25">
      <c r="A7" s="46" t="s">
        <v>493</v>
      </c>
      <c r="B7" s="66">
        <v>3518.72</v>
      </c>
      <c r="C7" s="66"/>
      <c r="D7" s="66"/>
      <c r="E7" s="66">
        <v>660</v>
      </c>
      <c r="F7" s="66"/>
      <c r="G7" s="66"/>
      <c r="H7" s="66">
        <v>8824.8799999999992</v>
      </c>
      <c r="I7" s="66"/>
      <c r="J7" s="66"/>
      <c r="K7" s="66"/>
      <c r="L7" s="66"/>
      <c r="M7" s="66">
        <v>300</v>
      </c>
      <c r="N7" s="66"/>
      <c r="O7" s="66"/>
      <c r="P7" s="66"/>
      <c r="Q7" s="66">
        <v>109830.32</v>
      </c>
      <c r="R7" s="66"/>
      <c r="S7" s="67">
        <v>0</v>
      </c>
      <c r="T7" s="67">
        <f t="shared" ref="T7:T22" si="0">SUM(B7:S7)</f>
        <v>123133.92000000001</v>
      </c>
      <c r="U7" s="67" t="s">
        <v>453</v>
      </c>
      <c r="V7" s="53" t="s">
        <v>492</v>
      </c>
      <c r="Y7" s="46">
        <f t="shared" ref="Y7:Y22" si="1">F7/$F$23</f>
        <v>0</v>
      </c>
      <c r="Z7" s="46">
        <f t="shared" ref="Z7:Z22" si="2">(K7+R7)/($K$23+$R$23)</f>
        <v>0</v>
      </c>
      <c r="AA7" s="46">
        <f t="shared" ref="AA7:AA22" si="3">L7/$L$23</f>
        <v>0</v>
      </c>
      <c r="AB7" s="46">
        <f t="shared" ref="AB7:AB22" si="4">S7/$S$23</f>
        <v>0</v>
      </c>
    </row>
    <row r="8" spans="1:28" x14ac:dyDescent="0.25">
      <c r="A8" s="46" t="s">
        <v>494</v>
      </c>
      <c r="B8" s="66">
        <v>2816</v>
      </c>
      <c r="C8" s="66"/>
      <c r="D8" s="66"/>
      <c r="E8" s="66"/>
      <c r="F8" s="66"/>
      <c r="G8" s="66"/>
      <c r="H8" s="66">
        <v>5444</v>
      </c>
      <c r="I8" s="66"/>
      <c r="J8" s="66"/>
      <c r="K8" s="66"/>
      <c r="L8" s="66"/>
      <c r="M8" s="66"/>
      <c r="N8" s="66"/>
      <c r="O8" s="66"/>
      <c r="P8" s="66"/>
      <c r="Q8" s="66">
        <v>83352</v>
      </c>
      <c r="R8" s="66"/>
      <c r="S8" s="67">
        <v>0</v>
      </c>
      <c r="T8" s="67">
        <f t="shared" si="0"/>
        <v>91612</v>
      </c>
      <c r="U8" s="67" t="s">
        <v>453</v>
      </c>
      <c r="V8" s="53" t="s">
        <v>492</v>
      </c>
      <c r="Y8" s="46">
        <f t="shared" si="1"/>
        <v>0</v>
      </c>
      <c r="Z8" s="46">
        <f t="shared" si="2"/>
        <v>0</v>
      </c>
      <c r="AA8" s="46">
        <f t="shared" si="3"/>
        <v>0</v>
      </c>
      <c r="AB8" s="46">
        <f t="shared" si="4"/>
        <v>0</v>
      </c>
    </row>
    <row r="9" spans="1:28" x14ac:dyDescent="0.25">
      <c r="A9" s="46" t="s">
        <v>495</v>
      </c>
      <c r="B9" s="66">
        <v>65739.540000000008</v>
      </c>
      <c r="C9" s="66">
        <v>795.76</v>
      </c>
      <c r="D9" s="66"/>
      <c r="E9" s="66"/>
      <c r="F9" s="66">
        <v>236382.4</v>
      </c>
      <c r="G9" s="66">
        <v>3610.2000000000003</v>
      </c>
      <c r="H9" s="66">
        <v>172233.36</v>
      </c>
      <c r="I9" s="66">
        <v>1820</v>
      </c>
      <c r="J9" s="66"/>
      <c r="K9" s="66">
        <v>10858.04</v>
      </c>
      <c r="L9" s="66"/>
      <c r="M9" s="66"/>
      <c r="N9" s="66">
        <v>8779.26</v>
      </c>
      <c r="O9" s="66">
        <v>12461.83</v>
      </c>
      <c r="P9" s="66">
        <v>9750</v>
      </c>
      <c r="Q9" s="66">
        <v>2183424.9899999998</v>
      </c>
      <c r="R9" s="66">
        <v>69982.960000000021</v>
      </c>
      <c r="S9" s="67">
        <v>188999.85</v>
      </c>
      <c r="T9" s="67">
        <f t="shared" si="0"/>
        <v>2964838.19</v>
      </c>
      <c r="U9" s="68" t="s">
        <v>496</v>
      </c>
      <c r="V9" s="53" t="s">
        <v>492</v>
      </c>
      <c r="Y9" s="46">
        <f t="shared" si="1"/>
        <v>0.56928690518786385</v>
      </c>
      <c r="Z9" s="46">
        <f t="shared" si="2"/>
        <v>0.56437715565809743</v>
      </c>
      <c r="AA9" s="46">
        <f t="shared" si="3"/>
        <v>0</v>
      </c>
      <c r="AB9" s="46">
        <f t="shared" si="4"/>
        <v>0.72016609558212041</v>
      </c>
    </row>
    <row r="10" spans="1:28" x14ac:dyDescent="0.25">
      <c r="A10" s="46" t="s">
        <v>497</v>
      </c>
      <c r="B10" s="66">
        <v>480</v>
      </c>
      <c r="C10" s="66"/>
      <c r="D10" s="66"/>
      <c r="E10" s="66"/>
      <c r="F10" s="66">
        <v>832.5</v>
      </c>
      <c r="G10" s="66"/>
      <c r="H10" s="66">
        <v>982.5</v>
      </c>
      <c r="I10" s="66"/>
      <c r="J10" s="66"/>
      <c r="K10" s="66"/>
      <c r="L10" s="66"/>
      <c r="M10" s="66"/>
      <c r="N10" s="66"/>
      <c r="O10" s="66">
        <v>1200</v>
      </c>
      <c r="P10" s="66"/>
      <c r="Q10" s="66">
        <v>15570</v>
      </c>
      <c r="R10" s="66"/>
      <c r="S10" s="67">
        <v>0</v>
      </c>
      <c r="T10" s="67">
        <f t="shared" si="0"/>
        <v>19065</v>
      </c>
      <c r="U10" s="67" t="s">
        <v>453</v>
      </c>
      <c r="V10" s="53" t="s">
        <v>492</v>
      </c>
      <c r="Y10" s="46">
        <f t="shared" si="1"/>
        <v>2.0049350060279305E-3</v>
      </c>
      <c r="Z10" s="46">
        <f t="shared" si="2"/>
        <v>0</v>
      </c>
      <c r="AA10" s="46">
        <f t="shared" si="3"/>
        <v>0</v>
      </c>
      <c r="AB10" s="46">
        <f t="shared" si="4"/>
        <v>0</v>
      </c>
    </row>
    <row r="11" spans="1:28" x14ac:dyDescent="0.25">
      <c r="A11" s="46" t="s">
        <v>498</v>
      </c>
      <c r="B11" s="66">
        <v>4080</v>
      </c>
      <c r="C11" s="66"/>
      <c r="D11" s="66"/>
      <c r="E11" s="66">
        <v>720</v>
      </c>
      <c r="F11" s="66"/>
      <c r="G11" s="66"/>
      <c r="H11" s="66">
        <v>5870</v>
      </c>
      <c r="I11" s="66"/>
      <c r="J11" s="66"/>
      <c r="K11" s="66"/>
      <c r="L11" s="66">
        <v>125</v>
      </c>
      <c r="M11" s="66"/>
      <c r="N11" s="66"/>
      <c r="O11" s="66"/>
      <c r="P11" s="66">
        <v>6500</v>
      </c>
      <c r="Q11" s="66">
        <v>121300</v>
      </c>
      <c r="R11" s="66"/>
      <c r="S11" s="67">
        <v>0</v>
      </c>
      <c r="T11" s="67">
        <f t="shared" si="0"/>
        <v>138595</v>
      </c>
      <c r="U11" s="67" t="s">
        <v>448</v>
      </c>
      <c r="V11" s="46" t="s">
        <v>492</v>
      </c>
      <c r="Y11" s="46">
        <f t="shared" si="1"/>
        <v>0</v>
      </c>
      <c r="Z11" s="46">
        <f t="shared" si="2"/>
        <v>0</v>
      </c>
      <c r="AA11" s="46">
        <f t="shared" si="3"/>
        <v>8.389261744966443E-3</v>
      </c>
      <c r="AB11" s="46">
        <f t="shared" si="4"/>
        <v>0</v>
      </c>
    </row>
    <row r="12" spans="1:28" x14ac:dyDescent="0.25">
      <c r="A12" s="46" t="s">
        <v>499</v>
      </c>
      <c r="B12" s="66">
        <v>1200</v>
      </c>
      <c r="C12" s="66"/>
      <c r="D12" s="66"/>
      <c r="E12" s="66">
        <v>120</v>
      </c>
      <c r="F12" s="66"/>
      <c r="G12" s="66"/>
      <c r="H12" s="66"/>
      <c r="I12" s="66"/>
      <c r="J12" s="66"/>
      <c r="K12" s="66"/>
      <c r="L12" s="66"/>
      <c r="M12" s="66"/>
      <c r="N12" s="66"/>
      <c r="O12" s="66"/>
      <c r="P12" s="66">
        <v>5000</v>
      </c>
      <c r="Q12" s="66">
        <v>38800</v>
      </c>
      <c r="R12" s="66"/>
      <c r="S12" s="67">
        <v>0</v>
      </c>
      <c r="T12" s="67">
        <f t="shared" si="0"/>
        <v>45120</v>
      </c>
      <c r="U12" s="67" t="s">
        <v>453</v>
      </c>
      <c r="Y12" s="46">
        <f t="shared" si="1"/>
        <v>0</v>
      </c>
      <c r="Z12" s="46">
        <f t="shared" si="2"/>
        <v>0</v>
      </c>
      <c r="AA12" s="69">
        <f t="shared" si="3"/>
        <v>0</v>
      </c>
      <c r="AB12" s="46">
        <f t="shared" si="4"/>
        <v>0</v>
      </c>
    </row>
    <row r="13" spans="1:28" x14ac:dyDescent="0.25">
      <c r="A13" s="46" t="s">
        <v>451</v>
      </c>
      <c r="B13" s="66">
        <v>13392.93</v>
      </c>
      <c r="C13" s="66"/>
      <c r="D13" s="66"/>
      <c r="E13" s="66"/>
      <c r="F13" s="66">
        <v>65291.229999999996</v>
      </c>
      <c r="G13" s="66">
        <v>1382</v>
      </c>
      <c r="H13" s="66">
        <v>34277.4</v>
      </c>
      <c r="I13" s="66"/>
      <c r="J13" s="66">
        <v>3725</v>
      </c>
      <c r="K13" s="66">
        <v>6818</v>
      </c>
      <c r="L13" s="66">
        <v>3875</v>
      </c>
      <c r="M13" s="66"/>
      <c r="N13" s="66"/>
      <c r="O13" s="66">
        <v>1323.63</v>
      </c>
      <c r="P13" s="66">
        <v>17375</v>
      </c>
      <c r="Q13" s="66">
        <v>509732.47</v>
      </c>
      <c r="R13" s="66">
        <v>14930.21</v>
      </c>
      <c r="S13" s="67">
        <v>28812.84</v>
      </c>
      <c r="T13" s="67">
        <f t="shared" si="0"/>
        <v>700935.70999999985</v>
      </c>
      <c r="U13" s="67" t="s">
        <v>451</v>
      </c>
      <c r="Y13" s="46">
        <f t="shared" si="1"/>
        <v>0.15724284998633151</v>
      </c>
      <c r="Z13" s="46">
        <f t="shared" si="2"/>
        <v>0.15183128487345512</v>
      </c>
      <c r="AA13" s="46">
        <f t="shared" si="3"/>
        <v>0.26006711409395972</v>
      </c>
      <c r="AB13" s="46">
        <f t="shared" si="4"/>
        <v>0.10978860822075966</v>
      </c>
    </row>
    <row r="14" spans="1:28" x14ac:dyDescent="0.25">
      <c r="A14" s="46" t="s">
        <v>500</v>
      </c>
      <c r="B14" s="66">
        <v>1622.4</v>
      </c>
      <c r="C14" s="66"/>
      <c r="D14" s="66"/>
      <c r="E14" s="66"/>
      <c r="F14" s="66"/>
      <c r="G14" s="66"/>
      <c r="H14" s="66">
        <v>7900.05</v>
      </c>
      <c r="I14" s="66"/>
      <c r="J14" s="66"/>
      <c r="K14" s="66"/>
      <c r="L14" s="66">
        <v>1050</v>
      </c>
      <c r="M14" s="66"/>
      <c r="N14" s="66"/>
      <c r="O14" s="66"/>
      <c r="P14" s="66"/>
      <c r="Q14" s="66">
        <v>44199.35</v>
      </c>
      <c r="R14" s="66"/>
      <c r="S14" s="67">
        <v>0</v>
      </c>
      <c r="T14" s="67">
        <f t="shared" si="0"/>
        <v>54771.8</v>
      </c>
      <c r="U14" s="67" t="s">
        <v>500</v>
      </c>
      <c r="Y14" s="46">
        <f t="shared" si="1"/>
        <v>0</v>
      </c>
      <c r="Z14" s="46">
        <f t="shared" si="2"/>
        <v>0</v>
      </c>
      <c r="AA14" s="46">
        <f t="shared" si="3"/>
        <v>7.0469798657718116E-2</v>
      </c>
      <c r="AB14" s="46">
        <f t="shared" si="4"/>
        <v>0</v>
      </c>
    </row>
    <row r="15" spans="1:28" x14ac:dyDescent="0.25">
      <c r="A15" s="46" t="s">
        <v>501</v>
      </c>
      <c r="B15" s="66">
        <v>1656.64</v>
      </c>
      <c r="C15" s="66">
        <v>204</v>
      </c>
      <c r="D15" s="66"/>
      <c r="E15" s="66"/>
      <c r="F15" s="66">
        <v>10855.35</v>
      </c>
      <c r="G15" s="66"/>
      <c r="H15" s="66">
        <v>5486.1</v>
      </c>
      <c r="I15" s="66"/>
      <c r="J15" s="66"/>
      <c r="K15" s="66"/>
      <c r="L15" s="66"/>
      <c r="M15" s="66"/>
      <c r="N15" s="66"/>
      <c r="O15" s="66">
        <v>612</v>
      </c>
      <c r="P15" s="66"/>
      <c r="Q15" s="66">
        <v>46689.06</v>
      </c>
      <c r="R15" s="66">
        <v>1879.96</v>
      </c>
      <c r="S15" s="67">
        <v>0</v>
      </c>
      <c r="T15" s="67">
        <f t="shared" si="0"/>
        <v>67383.11</v>
      </c>
      <c r="U15" s="57" t="s">
        <v>502</v>
      </c>
      <c r="Y15" s="46">
        <f t="shared" si="1"/>
        <v>2.6143268729952308E-2</v>
      </c>
      <c r="Z15" s="46">
        <f t="shared" si="2"/>
        <v>1.3124608522296811E-2</v>
      </c>
      <c r="AA15" s="46">
        <f t="shared" si="3"/>
        <v>0</v>
      </c>
      <c r="AB15" s="46">
        <f t="shared" si="4"/>
        <v>0</v>
      </c>
    </row>
    <row r="16" spans="1:28" x14ac:dyDescent="0.25">
      <c r="A16" s="46" t="s">
        <v>503</v>
      </c>
      <c r="B16" s="66">
        <v>1058.72</v>
      </c>
      <c r="C16" s="66"/>
      <c r="D16" s="66"/>
      <c r="E16" s="66"/>
      <c r="F16" s="66">
        <v>15</v>
      </c>
      <c r="G16" s="66">
        <v>80</v>
      </c>
      <c r="H16" s="66">
        <v>3264.63</v>
      </c>
      <c r="I16" s="66"/>
      <c r="J16" s="66"/>
      <c r="K16" s="66"/>
      <c r="L16" s="66"/>
      <c r="M16" s="66"/>
      <c r="N16" s="66"/>
      <c r="O16" s="66"/>
      <c r="P16" s="66"/>
      <c r="Q16" s="66">
        <v>42103.89</v>
      </c>
      <c r="R16" s="66">
        <v>1078.81</v>
      </c>
      <c r="S16" s="67">
        <v>0</v>
      </c>
      <c r="T16" s="67">
        <f t="shared" si="0"/>
        <v>47601.049999999996</v>
      </c>
      <c r="U16" s="67" t="s">
        <v>453</v>
      </c>
      <c r="Y16" s="46">
        <f t="shared" si="1"/>
        <v>3.6124955063566313E-5</v>
      </c>
      <c r="Z16" s="46">
        <f t="shared" si="2"/>
        <v>7.5315213727627298E-3</v>
      </c>
      <c r="AA16" s="46">
        <f t="shared" si="3"/>
        <v>0</v>
      </c>
      <c r="AB16" s="46">
        <f t="shared" si="4"/>
        <v>0</v>
      </c>
    </row>
    <row r="17" spans="1:28" s="70" customFormat="1" x14ac:dyDescent="0.25">
      <c r="A17" s="70" t="s">
        <v>449</v>
      </c>
      <c r="B17" s="71">
        <v>22938.629999999997</v>
      </c>
      <c r="C17" s="71"/>
      <c r="D17" s="71"/>
      <c r="E17" s="71"/>
      <c r="F17" s="71">
        <v>81640.199999999983</v>
      </c>
      <c r="G17" s="71">
        <v>3464.6</v>
      </c>
      <c r="H17" s="71">
        <v>81368.59</v>
      </c>
      <c r="I17" s="71"/>
      <c r="J17" s="71">
        <v>6802</v>
      </c>
      <c r="K17" s="71">
        <v>12721</v>
      </c>
      <c r="L17" s="71">
        <v>3375</v>
      </c>
      <c r="M17" s="71"/>
      <c r="N17" s="71">
        <v>2771.84</v>
      </c>
      <c r="O17" s="71">
        <v>6222.25</v>
      </c>
      <c r="P17" s="71">
        <v>12500</v>
      </c>
      <c r="Q17" s="71">
        <v>788460.25</v>
      </c>
      <c r="R17" s="71">
        <v>22023.260000000002</v>
      </c>
      <c r="S17" s="71">
        <v>42799.4</v>
      </c>
      <c r="T17" s="71">
        <f t="shared" si="0"/>
        <v>1087087.02</v>
      </c>
      <c r="U17" s="67" t="s">
        <v>504</v>
      </c>
      <c r="Y17" s="46">
        <f t="shared" si="1"/>
        <v>0.19661657042537106</v>
      </c>
      <c r="Z17" s="46">
        <f t="shared" si="2"/>
        <v>0.24256091134752664</v>
      </c>
      <c r="AA17" s="46">
        <f t="shared" si="3"/>
        <v>0.22651006711409397</v>
      </c>
      <c r="AB17" s="46">
        <f t="shared" si="4"/>
        <v>0.16308307541650116</v>
      </c>
    </row>
    <row r="18" spans="1:28" s="70" customFormat="1" x14ac:dyDescent="0.25">
      <c r="A18" s="70" t="s">
        <v>504</v>
      </c>
      <c r="B18" s="71">
        <v>8185.04</v>
      </c>
      <c r="C18" s="71"/>
      <c r="D18" s="71">
        <v>11200</v>
      </c>
      <c r="E18" s="71"/>
      <c r="F18" s="71"/>
      <c r="G18" s="71"/>
      <c r="H18" s="71">
        <v>33712.53</v>
      </c>
      <c r="I18" s="71"/>
      <c r="J18" s="71">
        <v>150</v>
      </c>
      <c r="K18" s="71"/>
      <c r="L18" s="71">
        <v>5350</v>
      </c>
      <c r="M18" s="71"/>
      <c r="N18" s="71">
        <v>736</v>
      </c>
      <c r="O18" s="71">
        <v>1571.2</v>
      </c>
      <c r="P18" s="71">
        <v>5750</v>
      </c>
      <c r="Q18" s="71">
        <v>232000.03</v>
      </c>
      <c r="R18" s="71"/>
      <c r="S18" s="71">
        <v>317.75</v>
      </c>
      <c r="T18" s="71">
        <f t="shared" si="0"/>
        <v>298972.55</v>
      </c>
      <c r="U18" s="67" t="s">
        <v>449</v>
      </c>
      <c r="Y18" s="46">
        <f t="shared" si="1"/>
        <v>0</v>
      </c>
      <c r="Z18" s="46">
        <f t="shared" si="2"/>
        <v>0</v>
      </c>
      <c r="AA18" s="46">
        <f t="shared" si="3"/>
        <v>0.35906040268456374</v>
      </c>
      <c r="AB18" s="46">
        <f t="shared" si="4"/>
        <v>1.2107563940988249E-3</v>
      </c>
    </row>
    <row r="19" spans="1:28" x14ac:dyDescent="0.25">
      <c r="A19" s="46" t="s">
        <v>505</v>
      </c>
      <c r="B19" s="66">
        <v>1084.32</v>
      </c>
      <c r="C19" s="66"/>
      <c r="D19" s="66"/>
      <c r="E19" s="66"/>
      <c r="F19" s="66">
        <v>11743.24</v>
      </c>
      <c r="G19" s="66"/>
      <c r="H19" s="66">
        <v>10458.719999999999</v>
      </c>
      <c r="I19" s="66"/>
      <c r="J19" s="66"/>
      <c r="K19" s="66"/>
      <c r="L19" s="66"/>
      <c r="M19" s="66"/>
      <c r="N19" s="66"/>
      <c r="O19" s="66"/>
      <c r="P19" s="66"/>
      <c r="Q19" s="66">
        <v>29788.16</v>
      </c>
      <c r="R19" s="66">
        <v>941.64</v>
      </c>
      <c r="S19" s="67">
        <v>0</v>
      </c>
      <c r="T19" s="67">
        <f t="shared" si="0"/>
        <v>54016.08</v>
      </c>
      <c r="U19" s="57" t="s">
        <v>502</v>
      </c>
      <c r="Y19" s="46">
        <f t="shared" si="1"/>
        <v>2.82816011533783E-2</v>
      </c>
      <c r="Z19" s="46">
        <f t="shared" si="2"/>
        <v>6.5738932578010001E-3</v>
      </c>
      <c r="AA19" s="46">
        <f t="shared" si="3"/>
        <v>0</v>
      </c>
      <c r="AB19" s="46">
        <f t="shared" si="4"/>
        <v>0</v>
      </c>
    </row>
    <row r="20" spans="1:28" x14ac:dyDescent="0.25">
      <c r="A20" s="46" t="s">
        <v>506</v>
      </c>
      <c r="B20" s="66">
        <v>2418.4</v>
      </c>
      <c r="C20" s="66"/>
      <c r="D20" s="66"/>
      <c r="E20" s="66">
        <v>300</v>
      </c>
      <c r="F20" s="66"/>
      <c r="G20" s="66"/>
      <c r="H20" s="66">
        <v>7540.8</v>
      </c>
      <c r="I20" s="66"/>
      <c r="J20" s="66"/>
      <c r="K20" s="66"/>
      <c r="L20" s="66"/>
      <c r="M20" s="66"/>
      <c r="N20" s="66">
        <v>656</v>
      </c>
      <c r="O20" s="66">
        <v>328</v>
      </c>
      <c r="P20" s="66">
        <v>1000</v>
      </c>
      <c r="Q20" s="66">
        <v>69679.100000000006</v>
      </c>
      <c r="R20" s="66"/>
      <c r="S20" s="67">
        <v>0</v>
      </c>
      <c r="T20" s="67">
        <f t="shared" si="0"/>
        <v>81922.3</v>
      </c>
      <c r="U20" s="67" t="s">
        <v>506</v>
      </c>
      <c r="Y20" s="46">
        <f t="shared" si="1"/>
        <v>0</v>
      </c>
      <c r="Z20" s="46">
        <f t="shared" si="2"/>
        <v>0</v>
      </c>
      <c r="AA20" s="46">
        <f t="shared" si="3"/>
        <v>0</v>
      </c>
      <c r="AB20" s="46">
        <f t="shared" si="4"/>
        <v>0</v>
      </c>
    </row>
    <row r="21" spans="1:28" x14ac:dyDescent="0.25">
      <c r="A21" s="46" t="s">
        <v>507</v>
      </c>
      <c r="B21" s="66">
        <v>2976</v>
      </c>
      <c r="C21" s="66"/>
      <c r="D21" s="66"/>
      <c r="E21" s="66"/>
      <c r="F21" s="66"/>
      <c r="G21" s="66"/>
      <c r="H21" s="66">
        <v>7475.5</v>
      </c>
      <c r="I21" s="66"/>
      <c r="J21" s="66"/>
      <c r="K21" s="66"/>
      <c r="L21" s="66">
        <v>1125</v>
      </c>
      <c r="M21" s="66"/>
      <c r="N21" s="66">
        <v>832</v>
      </c>
      <c r="O21" s="66">
        <v>832</v>
      </c>
      <c r="P21" s="66">
        <v>2000</v>
      </c>
      <c r="Q21" s="66">
        <v>92384</v>
      </c>
      <c r="R21" s="66"/>
      <c r="S21" s="67">
        <v>0</v>
      </c>
      <c r="T21" s="67">
        <f t="shared" si="0"/>
        <v>107624.5</v>
      </c>
      <c r="U21" s="67" t="s">
        <v>450</v>
      </c>
      <c r="Y21" s="46">
        <f t="shared" si="1"/>
        <v>0</v>
      </c>
      <c r="Z21" s="46">
        <f t="shared" si="2"/>
        <v>0</v>
      </c>
      <c r="AA21" s="46">
        <f t="shared" si="3"/>
        <v>7.5503355704697989E-2</v>
      </c>
      <c r="AB21" s="46">
        <f t="shared" si="4"/>
        <v>0</v>
      </c>
    </row>
    <row r="22" spans="1:28" x14ac:dyDescent="0.25">
      <c r="A22" s="46" t="s">
        <v>508</v>
      </c>
      <c r="B22" s="66">
        <v>1296.3</v>
      </c>
      <c r="C22" s="66"/>
      <c r="D22" s="66"/>
      <c r="E22" s="66"/>
      <c r="F22" s="66">
        <v>4175.4799999999996</v>
      </c>
      <c r="G22" s="66"/>
      <c r="H22" s="66">
        <v>3626.68</v>
      </c>
      <c r="I22" s="66"/>
      <c r="J22" s="66"/>
      <c r="K22" s="66"/>
      <c r="L22" s="66"/>
      <c r="M22" s="66"/>
      <c r="N22" s="66"/>
      <c r="O22" s="66">
        <v>704</v>
      </c>
      <c r="P22" s="66">
        <v>250</v>
      </c>
      <c r="Q22" s="66">
        <v>39621.75</v>
      </c>
      <c r="R22" s="66">
        <v>811.76</v>
      </c>
      <c r="S22" s="67">
        <v>1509.4099999999999</v>
      </c>
      <c r="T22" s="67">
        <f t="shared" si="0"/>
        <v>51995.380000000005</v>
      </c>
      <c r="U22" s="57" t="s">
        <v>502</v>
      </c>
      <c r="Y22" s="46">
        <f t="shared" si="1"/>
        <v>1.0055935157921324E-2</v>
      </c>
      <c r="Z22" s="46">
        <f t="shared" si="2"/>
        <v>5.6671589895847035E-3</v>
      </c>
      <c r="AA22" s="46">
        <f t="shared" si="3"/>
        <v>0</v>
      </c>
      <c r="AB22" s="46">
        <f t="shared" si="4"/>
        <v>5.7514643865199276E-3</v>
      </c>
    </row>
    <row r="23" spans="1:28" s="45" customFormat="1" x14ac:dyDescent="0.25">
      <c r="A23" s="45" t="s">
        <v>509</v>
      </c>
      <c r="B23" s="72">
        <v>135703.31999999998</v>
      </c>
      <c r="C23" s="72">
        <v>999.76</v>
      </c>
      <c r="D23" s="72">
        <v>11200</v>
      </c>
      <c r="E23" s="72">
        <v>1800</v>
      </c>
      <c r="F23" s="73">
        <v>415225.43</v>
      </c>
      <c r="G23" s="72">
        <v>8536.8000000000011</v>
      </c>
      <c r="H23" s="72">
        <v>389321.82999999996</v>
      </c>
      <c r="I23" s="72">
        <v>1820</v>
      </c>
      <c r="J23" s="72">
        <v>10677</v>
      </c>
      <c r="K23" s="74">
        <v>30397.040000000001</v>
      </c>
      <c r="L23" s="75">
        <v>14900</v>
      </c>
      <c r="M23" s="72">
        <v>300</v>
      </c>
      <c r="N23" s="72">
        <v>14088.06</v>
      </c>
      <c r="O23" s="72">
        <v>25254.91</v>
      </c>
      <c r="P23" s="72">
        <v>60125</v>
      </c>
      <c r="Q23" s="72">
        <v>4485220.8899999997</v>
      </c>
      <c r="R23" s="74">
        <v>112842.28</v>
      </c>
      <c r="S23" s="76">
        <f>SUM(S6:S22)</f>
        <v>262439.25</v>
      </c>
      <c r="T23" s="77">
        <f>SUM(T6:T22)</f>
        <v>5980851.5699999994</v>
      </c>
      <c r="U23" s="77"/>
      <c r="Y23" s="78">
        <f t="shared" ref="Y23:AB23" si="5">SUM(Y6:Y22)</f>
        <v>1</v>
      </c>
      <c r="Z23" s="78">
        <f t="shared" si="5"/>
        <v>1.0000000000000002</v>
      </c>
      <c r="AA23" s="78">
        <f t="shared" si="5"/>
        <v>1</v>
      </c>
      <c r="AB23" s="78">
        <f t="shared" si="5"/>
        <v>1</v>
      </c>
    </row>
    <row r="24" spans="1:28" x14ac:dyDescent="0.25">
      <c r="B24" s="51"/>
      <c r="C24" s="51"/>
      <c r="D24" s="51"/>
      <c r="E24" s="51"/>
      <c r="F24" s="51"/>
      <c r="G24" s="51"/>
      <c r="H24" s="51"/>
      <c r="I24" s="51"/>
      <c r="J24" s="51"/>
      <c r="K24" s="51"/>
      <c r="L24" s="51"/>
      <c r="M24" s="51"/>
      <c r="N24" s="51"/>
      <c r="O24" s="51"/>
      <c r="P24" s="51"/>
      <c r="Q24" s="51"/>
      <c r="R24" s="51"/>
      <c r="S24" s="56"/>
      <c r="T24" s="56">
        <f>T23-'[1]Hours &amp; $ BT'!S22-'[1]SD BT Summary'!P22</f>
        <v>0</v>
      </c>
      <c r="U24" s="56"/>
    </row>
    <row r="25" spans="1:28" s="79" customFormat="1" x14ac:dyDescent="0.25">
      <c r="B25" s="80"/>
      <c r="C25" s="80"/>
      <c r="D25" s="80"/>
      <c r="E25" s="80"/>
      <c r="F25" s="80"/>
      <c r="G25" s="80"/>
      <c r="H25" s="80"/>
      <c r="I25" s="80"/>
      <c r="J25" s="80"/>
      <c r="K25" s="80"/>
      <c r="L25" s="80"/>
      <c r="M25" s="80"/>
      <c r="N25" s="80"/>
      <c r="O25" s="80"/>
      <c r="P25" s="80"/>
      <c r="Q25" s="80"/>
      <c r="R25" s="80"/>
      <c r="S25" s="81"/>
      <c r="T25" s="81"/>
      <c r="U25" s="81"/>
    </row>
    <row r="26" spans="1:28" x14ac:dyDescent="0.25">
      <c r="A26" s="82" t="s">
        <v>510</v>
      </c>
      <c r="T26" s="83">
        <f>T23-S23-R23-L23-K23-F23</f>
        <v>5145047.5699999994</v>
      </c>
    </row>
    <row r="27" spans="1:28" x14ac:dyDescent="0.25">
      <c r="A27" s="59" t="s">
        <v>511</v>
      </c>
      <c r="T27" s="83"/>
    </row>
    <row r="29" spans="1:28" ht="66" x14ac:dyDescent="0.25">
      <c r="A29" s="45" t="s">
        <v>512</v>
      </c>
      <c r="C29" s="45" t="s">
        <v>513</v>
      </c>
      <c r="E29" s="84" t="s">
        <v>514</v>
      </c>
      <c r="F29" s="85" t="s">
        <v>515</v>
      </c>
      <c r="H29" s="85" t="s">
        <v>516</v>
      </c>
      <c r="I29" s="85" t="s">
        <v>517</v>
      </c>
      <c r="J29" s="85" t="s">
        <v>518</v>
      </c>
      <c r="K29" s="85" t="s">
        <v>519</v>
      </c>
      <c r="L29" s="85" t="s">
        <v>520</v>
      </c>
      <c r="M29" s="85"/>
      <c r="N29" s="85" t="s">
        <v>521</v>
      </c>
      <c r="O29" s="84" t="s">
        <v>522</v>
      </c>
      <c r="R29" s="45" t="s">
        <v>487</v>
      </c>
      <c r="S29" s="45" t="s">
        <v>488</v>
      </c>
      <c r="T29" s="45" t="s">
        <v>489</v>
      </c>
      <c r="U29" s="45" t="s">
        <v>490</v>
      </c>
    </row>
    <row r="30" spans="1:28" x14ac:dyDescent="0.25">
      <c r="A30" s="53" t="s">
        <v>523</v>
      </c>
      <c r="B30" s="46" t="s">
        <v>498</v>
      </c>
      <c r="C30" s="72">
        <v>135951</v>
      </c>
      <c r="E30" s="46">
        <f>F30/$F$54</f>
        <v>2.6913259423955144E-2</v>
      </c>
      <c r="F30" s="52">
        <f>T11-L11</f>
        <v>138470</v>
      </c>
      <c r="G30" s="52"/>
      <c r="H30" s="51">
        <f>$C$54*E30</f>
        <v>131617.65350402778</v>
      </c>
      <c r="I30" s="51">
        <f>$C$58*R30</f>
        <v>0</v>
      </c>
      <c r="J30" s="51">
        <f>$C$59*S30</f>
        <v>0</v>
      </c>
      <c r="K30" s="51">
        <f>$C$60*U30</f>
        <v>0</v>
      </c>
      <c r="L30" s="51">
        <f>$C$61*T30</f>
        <v>126.3506711409396</v>
      </c>
      <c r="M30" s="51"/>
      <c r="N30" s="51">
        <f>SUM(H30:M30)</f>
        <v>131744.00417516872</v>
      </c>
      <c r="O30" s="46">
        <f>N30/$N$54</f>
        <v>2.2982025959997893E-2</v>
      </c>
      <c r="P30" s="46" t="s">
        <v>448</v>
      </c>
      <c r="R30" s="46">
        <f>Y11</f>
        <v>0</v>
      </c>
      <c r="S30" s="46">
        <f>Z11</f>
        <v>0</v>
      </c>
      <c r="T30" s="46">
        <f>AA11</f>
        <v>8.389261744966443E-3</v>
      </c>
      <c r="U30" s="46">
        <f>AB11</f>
        <v>0</v>
      </c>
    </row>
    <row r="31" spans="1:28" x14ac:dyDescent="0.25">
      <c r="A31" s="53"/>
      <c r="C31" s="51"/>
      <c r="H31" s="51"/>
      <c r="I31" s="51"/>
      <c r="J31" s="51"/>
      <c r="K31" s="51"/>
      <c r="L31" s="51"/>
      <c r="M31" s="51"/>
      <c r="N31" s="51"/>
      <c r="S31" s="46"/>
      <c r="T31" s="46"/>
      <c r="U31" s="46"/>
    </row>
    <row r="32" spans="1:28" x14ac:dyDescent="0.25">
      <c r="A32" s="53" t="s">
        <v>524</v>
      </c>
      <c r="B32" s="46" t="s">
        <v>551</v>
      </c>
      <c r="C32" s="72">
        <v>340341</v>
      </c>
      <c r="E32" s="46">
        <f>F32/$F$54</f>
        <v>0.17969283032304406</v>
      </c>
      <c r="F32" s="52">
        <f>T17-R17-L17-K17-F17-S17</f>
        <v>924528.16</v>
      </c>
      <c r="H32" s="51">
        <f>$C$54*E32</f>
        <v>878776.82543219731</v>
      </c>
      <c r="I32" s="51">
        <f>$C$58*R32</f>
        <v>80819.63450648963</v>
      </c>
      <c r="J32" s="51">
        <f>$C$59*S32</f>
        <v>37317.753649905622</v>
      </c>
      <c r="K32" s="51">
        <f>$C$60*U32</f>
        <v>42740.649322081204</v>
      </c>
      <c r="L32" s="51">
        <f>$C$61*T32</f>
        <v>3411.4681208053694</v>
      </c>
      <c r="M32" s="51"/>
      <c r="N32" s="51">
        <f>SUM(H32:M32)</f>
        <v>1043066.3310314792</v>
      </c>
      <c r="O32" s="46">
        <f>N32/$N$54</f>
        <v>0.18195725602731788</v>
      </c>
      <c r="P32" s="53" t="s">
        <v>449</v>
      </c>
      <c r="R32" s="46">
        <f>Y17</f>
        <v>0.19661657042537106</v>
      </c>
      <c r="S32" s="46">
        <f>Z17</f>
        <v>0.24256091134752664</v>
      </c>
      <c r="T32" s="46">
        <f>AA17</f>
        <v>0.22651006711409397</v>
      </c>
      <c r="U32" s="46">
        <f>AB17</f>
        <v>0.16308307541650116</v>
      </c>
    </row>
    <row r="33" spans="1:21" x14ac:dyDescent="0.25">
      <c r="A33" s="53"/>
      <c r="C33" s="51"/>
      <c r="H33" s="51"/>
      <c r="I33" s="51"/>
      <c r="J33" s="51"/>
      <c r="K33" s="51"/>
      <c r="L33" s="51"/>
      <c r="M33" s="51"/>
      <c r="N33" s="51"/>
      <c r="S33" s="46"/>
      <c r="T33" s="46"/>
      <c r="U33" s="46"/>
    </row>
    <row r="34" spans="1:21" x14ac:dyDescent="0.25">
      <c r="A34" s="53" t="s">
        <v>525</v>
      </c>
      <c r="B34" s="46" t="s">
        <v>552</v>
      </c>
      <c r="C34" s="86">
        <v>996155</v>
      </c>
      <c r="H34" s="51"/>
      <c r="I34" s="51"/>
      <c r="J34" s="51"/>
      <c r="K34" s="51"/>
      <c r="L34" s="51"/>
      <c r="M34" s="51"/>
      <c r="N34" s="51"/>
      <c r="S34" s="46"/>
      <c r="T34" s="46"/>
      <c r="U34" s="46"/>
    </row>
    <row r="35" spans="1:21" x14ac:dyDescent="0.25">
      <c r="A35" s="53"/>
      <c r="B35" s="53" t="s">
        <v>449</v>
      </c>
      <c r="C35" s="86"/>
      <c r="E35" s="46">
        <f>F35/$F$54</f>
        <v>5.7007208584467964E-2</v>
      </c>
      <c r="F35" s="52">
        <f>T18-S18-R18-L18-K18-F18</f>
        <v>293304.8</v>
      </c>
      <c r="H35" s="51">
        <f t="shared" ref="H35:H36" si="6">$C$54*E35</f>
        <v>278790.27614261693</v>
      </c>
      <c r="I35" s="51">
        <f t="shared" ref="I35:I36" si="7">$C$58*R35</f>
        <v>0</v>
      </c>
      <c r="J35" s="51">
        <f t="shared" ref="J35:J36" si="8">$C$59*S35</f>
        <v>0</v>
      </c>
      <c r="K35" s="51">
        <f t="shared" ref="K35:K36" si="9">$C$60*U35</f>
        <v>317.31382500902595</v>
      </c>
      <c r="L35" s="51">
        <f t="shared" ref="L35:L36" si="10">$C$61*T35</f>
        <v>5407.8087248322145</v>
      </c>
      <c r="M35" s="51"/>
      <c r="N35" s="51">
        <f>SUM(H35:M35)</f>
        <v>284515.39869245817</v>
      </c>
      <c r="O35" s="46">
        <f>N35/$N$54</f>
        <v>4.9632165954780157E-2</v>
      </c>
      <c r="P35" s="53" t="s">
        <v>449</v>
      </c>
      <c r="R35" s="46">
        <f>Y18</f>
        <v>0</v>
      </c>
      <c r="S35" s="46">
        <f>Z18</f>
        <v>0</v>
      </c>
      <c r="T35" s="46">
        <f>AA18</f>
        <v>0.35906040268456374</v>
      </c>
      <c r="U35" s="46">
        <f>AB18</f>
        <v>1.2107563940988249E-3</v>
      </c>
    </row>
    <row r="36" spans="1:21" x14ac:dyDescent="0.25">
      <c r="A36" s="53"/>
      <c r="B36" s="53" t="s">
        <v>450</v>
      </c>
      <c r="C36" s="86"/>
      <c r="E36" s="46">
        <f>F36/$F$54</f>
        <v>2.0699419888939922E-2</v>
      </c>
      <c r="F36" s="52">
        <f>T21-S21-R21-L21-F21</f>
        <v>106499.5</v>
      </c>
      <c r="H36" s="51">
        <f t="shared" si="6"/>
        <v>101229.25030224746</v>
      </c>
      <c r="I36" s="51">
        <f t="shared" si="7"/>
        <v>0</v>
      </c>
      <c r="J36" s="51">
        <f t="shared" si="8"/>
        <v>0</v>
      </c>
      <c r="K36" s="51">
        <f t="shared" si="9"/>
        <v>0</v>
      </c>
      <c r="L36" s="51">
        <f t="shared" si="10"/>
        <v>1137.1560402684563</v>
      </c>
      <c r="M36" s="51"/>
      <c r="N36" s="51">
        <f>SUM(H36:M36)</f>
        <v>102366.40634251591</v>
      </c>
      <c r="O36" s="46">
        <f>N36/$N$54</f>
        <v>1.7857263582692989E-2</v>
      </c>
      <c r="P36" s="53" t="s">
        <v>450</v>
      </c>
      <c r="R36" s="46">
        <f>Y21</f>
        <v>0</v>
      </c>
      <c r="S36" s="46">
        <f>Z21</f>
        <v>0</v>
      </c>
      <c r="T36" s="46">
        <f>AA21</f>
        <v>7.5503355704697989E-2</v>
      </c>
      <c r="U36" s="46">
        <f>AB21</f>
        <v>0</v>
      </c>
    </row>
    <row r="37" spans="1:21" x14ac:dyDescent="0.25">
      <c r="A37" s="53"/>
      <c r="C37" s="86"/>
      <c r="H37" s="51"/>
      <c r="I37" s="51"/>
      <c r="J37" s="51"/>
      <c r="K37" s="51"/>
      <c r="L37" s="51"/>
      <c r="M37" s="51"/>
      <c r="N37" s="51"/>
      <c r="S37" s="46"/>
      <c r="T37" s="46"/>
      <c r="U37" s="46"/>
    </row>
    <row r="38" spans="1:21" x14ac:dyDescent="0.25">
      <c r="A38" s="53" t="s">
        <v>526</v>
      </c>
      <c r="B38" s="46" t="s">
        <v>553</v>
      </c>
      <c r="C38" s="72">
        <v>560400</v>
      </c>
      <c r="E38" s="46">
        <f>F38/$F$54</f>
        <v>0.11296463678760506</v>
      </c>
      <c r="F38" s="52">
        <f>T13-S13-L13-K13-R13-F13</f>
        <v>581208.42999999993</v>
      </c>
      <c r="G38" s="52"/>
      <c r="H38" s="51">
        <f>$C$54*E38</f>
        <v>552446.66536693845</v>
      </c>
      <c r="I38" s="51">
        <f>$C$58*R38</f>
        <v>64634.987972581541</v>
      </c>
      <c r="J38" s="51">
        <f>$C$59*S38</f>
        <v>23359.091346496196</v>
      </c>
      <c r="K38" s="51">
        <f>$C$60*U38</f>
        <v>28773.28865388847</v>
      </c>
      <c r="L38" s="51">
        <f>$C$61*T38</f>
        <v>3916.8708053691271</v>
      </c>
      <c r="M38" s="51"/>
      <c r="N38" s="51">
        <f>SUM(H38:M38)</f>
        <v>673130.90414527385</v>
      </c>
      <c r="O38" s="46">
        <f>N38/$N$54</f>
        <v>0.11742403011354141</v>
      </c>
      <c r="P38" s="46" t="s">
        <v>451</v>
      </c>
      <c r="R38" s="46">
        <f>Y13</f>
        <v>0.15724284998633151</v>
      </c>
      <c r="S38" s="46">
        <f>Z13</f>
        <v>0.15183128487345512</v>
      </c>
      <c r="T38" s="46">
        <f>AA13</f>
        <v>0.26006711409395972</v>
      </c>
      <c r="U38" s="46">
        <f>AB13</f>
        <v>0.10978860822075966</v>
      </c>
    </row>
    <row r="39" spans="1:21" x14ac:dyDescent="0.25">
      <c r="A39" s="53"/>
      <c r="C39" s="51"/>
      <c r="H39" s="51"/>
      <c r="I39" s="51"/>
      <c r="J39" s="51"/>
      <c r="K39" s="51"/>
      <c r="L39" s="51"/>
      <c r="M39" s="51"/>
      <c r="N39" s="51"/>
      <c r="S39" s="46"/>
      <c r="T39" s="46"/>
      <c r="U39" s="46"/>
    </row>
    <row r="40" spans="1:21" x14ac:dyDescent="0.25">
      <c r="A40" s="53" t="s">
        <v>527</v>
      </c>
      <c r="B40" s="46" t="s">
        <v>554</v>
      </c>
      <c r="C40" s="72">
        <v>2430988</v>
      </c>
      <c r="E40" s="46">
        <f>F40/$F$54</f>
        <v>0.4778604874978834</v>
      </c>
      <c r="F40" s="52">
        <f>T9-S9-R9-K9-F9</f>
        <v>2458614.94</v>
      </c>
      <c r="G40" s="52"/>
      <c r="H40" s="51">
        <f>$C$54*E40</f>
        <v>2336947.5646186615</v>
      </c>
      <c r="I40" s="51">
        <f>$C$58*R40</f>
        <v>234006.5209512818</v>
      </c>
      <c r="J40" s="51">
        <f>$C$59*S40</f>
        <v>86828.861020842625</v>
      </c>
      <c r="K40" s="51">
        <f>$C$60*U40</f>
        <v>188740.41016406653</v>
      </c>
      <c r="L40" s="51">
        <f>$C$61*T40</f>
        <v>0</v>
      </c>
      <c r="M40" s="51"/>
      <c r="N40" s="51">
        <f>SUM(H40:M40)</f>
        <v>2846523.3567548525</v>
      </c>
      <c r="O40" s="46">
        <f>N40/$N$54</f>
        <v>0.49656053867695177</v>
      </c>
      <c r="P40" s="46" t="s">
        <v>452</v>
      </c>
      <c r="R40" s="46">
        <f>Y9</f>
        <v>0.56928690518786385</v>
      </c>
      <c r="S40" s="46">
        <f>Z9</f>
        <v>0.56437715565809743</v>
      </c>
      <c r="T40" s="46">
        <f>AA9</f>
        <v>0</v>
      </c>
      <c r="U40" s="46">
        <f>AB9</f>
        <v>0.72016609558212041</v>
      </c>
    </row>
    <row r="41" spans="1:21" x14ac:dyDescent="0.25">
      <c r="A41" s="53"/>
      <c r="C41" s="51"/>
      <c r="H41" s="51"/>
      <c r="I41" s="51"/>
      <c r="J41" s="51"/>
      <c r="K41" s="51"/>
      <c r="L41" s="51"/>
      <c r="M41" s="51"/>
      <c r="N41" s="51"/>
      <c r="S41" s="46"/>
      <c r="T41" s="46"/>
      <c r="U41" s="46"/>
    </row>
    <row r="42" spans="1:21" x14ac:dyDescent="0.25">
      <c r="A42" s="53" t="s">
        <v>528</v>
      </c>
      <c r="B42" s="46" t="s">
        <v>555</v>
      </c>
      <c r="C42" s="51">
        <v>119686</v>
      </c>
      <c r="H42" s="51"/>
      <c r="I42" s="51"/>
      <c r="J42" s="51"/>
      <c r="K42" s="51"/>
      <c r="L42" s="51"/>
      <c r="M42" s="51"/>
      <c r="N42" s="51"/>
      <c r="S42" s="46"/>
      <c r="T42" s="46"/>
      <c r="U42" s="46"/>
    </row>
    <row r="43" spans="1:21" x14ac:dyDescent="0.25">
      <c r="A43" s="53" t="s">
        <v>529</v>
      </c>
      <c r="B43" s="46" t="s">
        <v>556</v>
      </c>
      <c r="C43" s="55">
        <v>94505</v>
      </c>
      <c r="H43" s="51"/>
      <c r="I43" s="51"/>
      <c r="J43" s="51"/>
      <c r="K43" s="51"/>
      <c r="L43" s="51"/>
      <c r="M43" s="51"/>
      <c r="N43" s="51"/>
      <c r="S43" s="46"/>
      <c r="T43" s="46"/>
      <c r="U43" s="46"/>
    </row>
    <row r="44" spans="1:21" x14ac:dyDescent="0.25">
      <c r="A44" s="53"/>
      <c r="C44" s="72">
        <f>SUM(C42:C43)</f>
        <v>214191</v>
      </c>
      <c r="E44" s="46">
        <f>F44/$F$54</f>
        <v>7.1000297865078846E-2</v>
      </c>
      <c r="F44" s="52">
        <f>T6+T7+T8-R6-F6+T10+T12-F10+T16-R16-F16</f>
        <v>365299.91000000003</v>
      </c>
      <c r="G44" s="52"/>
      <c r="H44" s="51">
        <f>$C$54*E44</f>
        <v>347222.62569099833</v>
      </c>
      <c r="I44" s="51">
        <f>$C$58*R44</f>
        <v>5085.8926958303109</v>
      </c>
      <c r="J44" s="51">
        <f>$C$59*S44</f>
        <v>2440.8124390006878</v>
      </c>
      <c r="K44" s="51">
        <f>$C$60*U44</f>
        <v>0</v>
      </c>
      <c r="L44" s="51">
        <f>$C$61*T44</f>
        <v>0</v>
      </c>
      <c r="M44" s="51"/>
      <c r="N44" s="51">
        <f>SUM(H44:M44)</f>
        <v>354749.33082582935</v>
      </c>
      <c r="O44" s="46">
        <f>N44/$N$54</f>
        <v>6.1884093939417031E-2</v>
      </c>
      <c r="P44" s="46" t="s">
        <v>453</v>
      </c>
      <c r="R44" s="46">
        <f>Y6+Y7+Y8+Y10+Y12+Y16</f>
        <v>1.2372869359181591E-2</v>
      </c>
      <c r="S44" s="46">
        <f>Z6+Z7+Z8+Z10+Z12+Z16</f>
        <v>1.5864987351238473E-2</v>
      </c>
      <c r="T44" s="69">
        <f>AA12+AA6+AA7+AA8+AA10+AA16</f>
        <v>0</v>
      </c>
      <c r="U44" s="46">
        <f>AB6+AB7+AB8+AB10+AB12+AB16</f>
        <v>0</v>
      </c>
    </row>
    <row r="45" spans="1:21" x14ac:dyDescent="0.25">
      <c r="A45" s="53"/>
      <c r="C45" s="51"/>
      <c r="H45" s="51"/>
      <c r="I45" s="51"/>
      <c r="J45" s="51"/>
      <c r="K45" s="51"/>
      <c r="L45" s="51"/>
      <c r="M45" s="51"/>
      <c r="N45" s="51"/>
      <c r="S45" s="46"/>
      <c r="T45" s="46"/>
      <c r="U45" s="46"/>
    </row>
    <row r="46" spans="1:21" x14ac:dyDescent="0.25">
      <c r="A46" s="53" t="s">
        <v>530</v>
      </c>
      <c r="B46" s="46" t="s">
        <v>557</v>
      </c>
      <c r="C46" s="51">
        <v>54653</v>
      </c>
      <c r="H46" s="51"/>
      <c r="I46" s="51"/>
      <c r="J46" s="51"/>
      <c r="K46" s="51"/>
      <c r="L46" s="51"/>
      <c r="M46" s="51"/>
      <c r="N46" s="51"/>
      <c r="S46" s="46"/>
      <c r="T46" s="46"/>
      <c r="U46" s="46"/>
    </row>
    <row r="47" spans="1:21" x14ac:dyDescent="0.25">
      <c r="A47" s="53" t="s">
        <v>531</v>
      </c>
      <c r="B47" s="46" t="s">
        <v>558</v>
      </c>
      <c r="C47" s="55">
        <v>48666</v>
      </c>
      <c r="H47" s="51"/>
      <c r="I47" s="51"/>
      <c r="J47" s="51"/>
      <c r="K47" s="51"/>
      <c r="L47" s="51"/>
      <c r="M47" s="51"/>
      <c r="N47" s="51"/>
      <c r="S47" s="46"/>
      <c r="T47" s="46"/>
      <c r="U47" s="46"/>
    </row>
    <row r="48" spans="1:21" x14ac:dyDescent="0.25">
      <c r="A48" s="53"/>
      <c r="C48" s="72">
        <f>SUM(C46:C47)</f>
        <v>103319</v>
      </c>
      <c r="E48" s="46">
        <f>F48/$F$54</f>
        <v>2.7497846827488126E-2</v>
      </c>
      <c r="F48" s="52">
        <f>T15-R15-F15+T19-R19-F19+T22-S22-R22-F22</f>
        <v>141477.72999999998</v>
      </c>
      <c r="G48" s="52"/>
      <c r="H48" s="51">
        <f>$C$54*E48</f>
        <v>134476.54254117422</v>
      </c>
      <c r="I48" s="51">
        <f>$C$58*R48</f>
        <v>26504.96387381669</v>
      </c>
      <c r="J48" s="51">
        <f>$C$59*S48</f>
        <v>3902.4815437548855</v>
      </c>
      <c r="K48" s="51">
        <f>$C$60*U48</f>
        <v>1507.338034954756</v>
      </c>
      <c r="L48" s="51">
        <f>$C$61*T48</f>
        <v>0</v>
      </c>
      <c r="M48" s="51"/>
      <c r="N48" s="51">
        <f>SUM(H48:M48)</f>
        <v>166391.32599370056</v>
      </c>
      <c r="O48" s="46">
        <f>N48/$N$54</f>
        <v>2.90260630641015E-2</v>
      </c>
      <c r="P48" s="46" t="s">
        <v>454</v>
      </c>
      <c r="R48" s="46">
        <f>Y22+Y19+Y15</f>
        <v>6.4480805041251935E-2</v>
      </c>
      <c r="S48" s="46">
        <f>Z22+Z19+Z15</f>
        <v>2.5365660769682517E-2</v>
      </c>
      <c r="T48" s="46">
        <f>AA22+AA19+AA15</f>
        <v>0</v>
      </c>
      <c r="U48" s="46">
        <f>AB22+AB19+AB15</f>
        <v>5.7514643865199276E-3</v>
      </c>
    </row>
    <row r="49" spans="1:21" x14ac:dyDescent="0.25">
      <c r="A49" s="53"/>
      <c r="C49" s="51"/>
      <c r="H49" s="51"/>
      <c r="I49" s="51"/>
      <c r="J49" s="51"/>
      <c r="K49" s="51"/>
      <c r="L49" s="51"/>
      <c r="M49" s="51"/>
      <c r="N49" s="51"/>
      <c r="S49" s="46"/>
      <c r="T49" s="46"/>
      <c r="U49" s="46"/>
    </row>
    <row r="50" spans="1:21" x14ac:dyDescent="0.25">
      <c r="A50" s="53" t="s">
        <v>532</v>
      </c>
      <c r="B50" s="46" t="s">
        <v>559</v>
      </c>
      <c r="C50" s="72">
        <v>49879</v>
      </c>
      <c r="E50" s="46">
        <f>F50/$F$54</f>
        <v>1.0441458367313017E-2</v>
      </c>
      <c r="F50" s="52">
        <f>T14-L14</f>
        <v>53721.8</v>
      </c>
      <c r="G50" s="52"/>
      <c r="H50" s="51">
        <f>$C$54*E50</f>
        <v>51063.315216383904</v>
      </c>
      <c r="I50" s="51">
        <f>$C$58*R50</f>
        <v>0</v>
      </c>
      <c r="J50" s="51">
        <f>$C$59*S50</f>
        <v>0</v>
      </c>
      <c r="K50" s="51">
        <f>$C$60*U50</f>
        <v>0</v>
      </c>
      <c r="L50" s="51">
        <f>$C$61*T50</f>
        <v>1061.3456375838925</v>
      </c>
      <c r="M50" s="51"/>
      <c r="N50" s="51">
        <f>SUM(H50:M50)</f>
        <v>52124.660853967798</v>
      </c>
      <c r="O50" s="46">
        <f>N50/$N$54</f>
        <v>9.0928639705620956E-3</v>
      </c>
      <c r="P50" s="46" t="s">
        <v>455</v>
      </c>
      <c r="R50" s="46">
        <f>Y14</f>
        <v>0</v>
      </c>
      <c r="S50" s="46">
        <f>Z14</f>
        <v>0</v>
      </c>
      <c r="T50" s="46">
        <f>AA14</f>
        <v>7.0469798657718116E-2</v>
      </c>
      <c r="U50" s="46">
        <f>AB14</f>
        <v>0</v>
      </c>
    </row>
    <row r="51" spans="1:21" x14ac:dyDescent="0.25">
      <c r="A51" s="53"/>
      <c r="C51" s="51"/>
      <c r="H51" s="51"/>
      <c r="I51" s="51"/>
      <c r="J51" s="51"/>
      <c r="K51" s="51"/>
      <c r="L51" s="51"/>
      <c r="M51" s="51"/>
      <c r="N51" s="51"/>
      <c r="S51" s="46"/>
      <c r="T51" s="46"/>
      <c r="U51" s="46"/>
    </row>
    <row r="52" spans="1:21" x14ac:dyDescent="0.25">
      <c r="A52" s="53" t="s">
        <v>533</v>
      </c>
      <c r="B52" s="46" t="s">
        <v>506</v>
      </c>
      <c r="C52" s="72">
        <v>59215</v>
      </c>
      <c r="E52" s="46">
        <f>F52/$F$54</f>
        <v>1.5922554434224603E-2</v>
      </c>
      <c r="F52" s="52">
        <f>T20</f>
        <v>81922.3</v>
      </c>
      <c r="G52" s="52"/>
      <c r="H52" s="51">
        <f>$C$54*E52</f>
        <v>77868.281184754931</v>
      </c>
      <c r="I52" s="51">
        <f>$C$58*R52</f>
        <v>0</v>
      </c>
      <c r="J52" s="51">
        <f>$C$59*S52</f>
        <v>0</v>
      </c>
      <c r="K52" s="51">
        <f>$C$60*U52</f>
        <v>0</v>
      </c>
      <c r="L52" s="51">
        <f>$C$61*T52</f>
        <v>0</v>
      </c>
      <c r="M52" s="51"/>
      <c r="N52" s="51">
        <f>SUM(H52:M52)</f>
        <v>77868.281184754931</v>
      </c>
      <c r="O52" s="46">
        <f>N52/$N$54</f>
        <v>1.3583698710637443E-2</v>
      </c>
      <c r="P52" s="46" t="s">
        <v>456</v>
      </c>
      <c r="R52" s="46">
        <f>Y20</f>
        <v>0</v>
      </c>
      <c r="S52" s="46">
        <f>Z20</f>
        <v>0</v>
      </c>
      <c r="T52" s="46">
        <f>AA20</f>
        <v>0</v>
      </c>
      <c r="U52" s="46">
        <f>AB20</f>
        <v>0</v>
      </c>
    </row>
    <row r="53" spans="1:21" x14ac:dyDescent="0.25">
      <c r="A53" s="53"/>
      <c r="C53" s="51"/>
      <c r="H53" s="51"/>
      <c r="I53" s="51"/>
      <c r="J53" s="51"/>
      <c r="K53" s="51"/>
      <c r="L53" s="51"/>
      <c r="M53" s="51"/>
      <c r="N53" s="51"/>
    </row>
    <row r="54" spans="1:21" x14ac:dyDescent="0.25">
      <c r="A54" s="53"/>
      <c r="B54" s="53" t="s">
        <v>534</v>
      </c>
      <c r="C54" s="72">
        <f>C52+C50+C48+C44+C40+C38+C34+C30+C32</f>
        <v>4890439</v>
      </c>
      <c r="F54" s="72">
        <f>F52+F50+F48+F44+F40+F38+F30+F32+F35+F36</f>
        <v>5145047.5699999994</v>
      </c>
      <c r="H54" s="72">
        <f>H52+H50+H48+H44+H40+H38+H30+H32+H35+H36</f>
        <v>4890439.0000000009</v>
      </c>
      <c r="I54" s="72">
        <f>I52+I50+I48+I44+I40+I38+I30+I32+I35+I36</f>
        <v>411051.99999999994</v>
      </c>
      <c r="J54" s="72">
        <f>J52+J50+J48+J44+J40+J38+J30+J32+J35+J36</f>
        <v>153849</v>
      </c>
      <c r="K54" s="72">
        <f>K52+K50+K48+K44+K40+K38+K30+K32+K35+K36</f>
        <v>262079</v>
      </c>
      <c r="L54" s="72">
        <f>L52+L50+L48+L44+L40+L38+L30+L32+L35+L36</f>
        <v>15061</v>
      </c>
      <c r="M54" s="72"/>
      <c r="N54" s="72">
        <f>N52+N50+N48+N44+N40+N38+N30+N32+N35+N36</f>
        <v>5732480</v>
      </c>
      <c r="R54" s="87">
        <f>R52+R50+R48+R44+R40+R38+R30+R32+R35+R36</f>
        <v>1</v>
      </c>
      <c r="S54" s="87">
        <f>S52+S50+S48+S44+S40+S38+S30+S32+S35+S36</f>
        <v>1.0000000000000002</v>
      </c>
      <c r="T54" s="87">
        <f>T52+T50+T48+T44+T40+T38+T30+T32+T35+T36</f>
        <v>1</v>
      </c>
      <c r="U54" s="87">
        <f>U52+U50+U48+U44+U40+U38+U30+U32+U35+U36</f>
        <v>1</v>
      </c>
    </row>
    <row r="55" spans="1:21" x14ac:dyDescent="0.25">
      <c r="A55" s="53"/>
      <c r="B55" s="53"/>
      <c r="C55" s="72"/>
      <c r="H55" s="51"/>
      <c r="I55" s="51"/>
      <c r="J55" s="51"/>
      <c r="K55" s="51"/>
      <c r="L55" s="51"/>
      <c r="M55" s="51"/>
      <c r="N55" s="51"/>
    </row>
    <row r="56" spans="1:21" x14ac:dyDescent="0.25">
      <c r="A56" s="53"/>
      <c r="C56" s="51"/>
      <c r="H56" s="51"/>
      <c r="I56" s="51"/>
      <c r="J56" s="51"/>
      <c r="K56" s="51"/>
      <c r="L56" s="51"/>
      <c r="M56" s="51"/>
      <c r="N56" s="51"/>
    </row>
    <row r="57" spans="1:21" x14ac:dyDescent="0.25">
      <c r="A57" s="45" t="s">
        <v>535</v>
      </c>
      <c r="C57" s="45" t="s">
        <v>513</v>
      </c>
      <c r="D57" s="45"/>
      <c r="H57" s="51"/>
      <c r="I57" s="51"/>
      <c r="J57" s="51"/>
      <c r="K57" s="51"/>
      <c r="L57" s="51"/>
      <c r="M57" s="51"/>
      <c r="N57" s="51"/>
    </row>
    <row r="58" spans="1:21" x14ac:dyDescent="0.25">
      <c r="A58" s="53" t="s">
        <v>536</v>
      </c>
      <c r="B58" s="46" t="s">
        <v>560</v>
      </c>
      <c r="C58" s="51">
        <v>411052</v>
      </c>
      <c r="D58" s="52"/>
      <c r="F58" s="88">
        <f>$F$23</f>
        <v>415225.43</v>
      </c>
      <c r="H58" s="51"/>
      <c r="I58" s="51"/>
      <c r="J58" s="51"/>
      <c r="K58" s="51"/>
      <c r="L58" s="51"/>
      <c r="M58" s="51"/>
      <c r="N58" s="51"/>
    </row>
    <row r="59" spans="1:21" x14ac:dyDescent="0.25">
      <c r="A59" s="53" t="s">
        <v>537</v>
      </c>
      <c r="B59" s="46" t="s">
        <v>561</v>
      </c>
      <c r="C59" s="51">
        <v>153849</v>
      </c>
      <c r="D59" s="52"/>
      <c r="F59" s="89">
        <f>$K$23+$R$23</f>
        <v>143239.32</v>
      </c>
      <c r="H59" s="51"/>
      <c r="I59" s="51"/>
      <c r="J59" s="51"/>
      <c r="K59" s="51"/>
      <c r="L59" s="51"/>
      <c r="M59" s="51"/>
      <c r="N59" s="51"/>
    </row>
    <row r="60" spans="1:21" x14ac:dyDescent="0.25">
      <c r="A60" s="53" t="s">
        <v>538</v>
      </c>
      <c r="B60" s="46" t="s">
        <v>562</v>
      </c>
      <c r="C60" s="51">
        <v>262079</v>
      </c>
      <c r="D60" s="52"/>
      <c r="F60" s="90">
        <f>$S$23</f>
        <v>262439.25</v>
      </c>
      <c r="H60" s="51"/>
      <c r="I60" s="51"/>
      <c r="J60" s="51"/>
      <c r="K60" s="51"/>
      <c r="L60" s="51"/>
      <c r="M60" s="51"/>
      <c r="N60" s="51"/>
    </row>
    <row r="61" spans="1:21" x14ac:dyDescent="0.25">
      <c r="A61" s="53" t="s">
        <v>539</v>
      </c>
      <c r="B61" s="46" t="s">
        <v>563</v>
      </c>
      <c r="C61" s="55">
        <v>15061</v>
      </c>
      <c r="D61" s="52"/>
      <c r="F61" s="91">
        <f>$L$23</f>
        <v>14900</v>
      </c>
      <c r="H61" s="51"/>
      <c r="I61" s="51"/>
      <c r="J61" s="51"/>
      <c r="K61" s="51"/>
      <c r="L61" s="51"/>
      <c r="M61" s="51"/>
      <c r="N61" s="51"/>
    </row>
    <row r="62" spans="1:21" x14ac:dyDescent="0.25">
      <c r="C62" s="52">
        <f>SUM(C58:C61)</f>
        <v>842041</v>
      </c>
      <c r="D62" s="52"/>
      <c r="F62" s="92">
        <f>SUM(F58:F61)</f>
        <v>835804</v>
      </c>
      <c r="H62" s="51"/>
      <c r="I62" s="51"/>
      <c r="J62" s="51"/>
      <c r="K62" s="51"/>
      <c r="L62" s="51"/>
      <c r="M62" s="51"/>
      <c r="N62" s="51"/>
    </row>
    <row r="63" spans="1:21" x14ac:dyDescent="0.25">
      <c r="C63" s="51"/>
      <c r="F63" s="92"/>
    </row>
    <row r="64" spans="1:21" ht="13.8" thickBot="1" x14ac:dyDescent="0.3">
      <c r="C64" s="93">
        <f>C54+C62</f>
        <v>5732480</v>
      </c>
      <c r="F64" s="93">
        <f>F54+F62</f>
        <v>5980851.5699999994</v>
      </c>
    </row>
    <row r="65" spans="1:21" ht="13.8" thickTop="1" x14ac:dyDescent="0.25">
      <c r="C65" s="51"/>
    </row>
    <row r="66" spans="1:21" s="79" customFormat="1" x14ac:dyDescent="0.25">
      <c r="C66" s="80"/>
      <c r="S66" s="94"/>
      <c r="T66" s="94"/>
      <c r="U66" s="94"/>
    </row>
    <row r="67" spans="1:21" x14ac:dyDescent="0.25">
      <c r="C67" s="51"/>
    </row>
    <row r="68" spans="1:21" x14ac:dyDescent="0.25">
      <c r="A68" s="82" t="s">
        <v>540</v>
      </c>
      <c r="C68" s="51"/>
    </row>
    <row r="69" spans="1:21" x14ac:dyDescent="0.25">
      <c r="C69" s="51"/>
    </row>
    <row r="70" spans="1:21" x14ac:dyDescent="0.25">
      <c r="A70" s="45" t="s">
        <v>442</v>
      </c>
      <c r="C70" s="51"/>
    </row>
    <row r="71" spans="1:21" x14ac:dyDescent="0.25">
      <c r="A71" s="53" t="s">
        <v>541</v>
      </c>
      <c r="B71" s="46" t="s">
        <v>564</v>
      </c>
      <c r="C71" s="51">
        <v>602698</v>
      </c>
    </row>
    <row r="72" spans="1:21" x14ac:dyDescent="0.25">
      <c r="A72" s="53" t="s">
        <v>542</v>
      </c>
      <c r="B72" s="46" t="s">
        <v>565</v>
      </c>
      <c r="C72" s="51">
        <v>86196</v>
      </c>
    </row>
    <row r="73" spans="1:21" x14ac:dyDescent="0.25">
      <c r="A73" s="53" t="s">
        <v>543</v>
      </c>
      <c r="B73" s="46" t="s">
        <v>566</v>
      </c>
      <c r="C73" s="51">
        <v>124525</v>
      </c>
    </row>
    <row r="74" spans="1:21" x14ac:dyDescent="0.25">
      <c r="A74" s="53" t="s">
        <v>544</v>
      </c>
      <c r="B74" s="46" t="s">
        <v>567</v>
      </c>
      <c r="C74" s="51">
        <v>-45093</v>
      </c>
    </row>
    <row r="75" spans="1:21" x14ac:dyDescent="0.25">
      <c r="A75" s="53" t="s">
        <v>545</v>
      </c>
      <c r="B75" s="46" t="s">
        <v>568</v>
      </c>
      <c r="C75" s="55">
        <v>16763</v>
      </c>
    </row>
    <row r="76" spans="1:21" x14ac:dyDescent="0.25">
      <c r="C76" s="51">
        <f>SUM(C71:C75)</f>
        <v>785089</v>
      </c>
    </row>
    <row r="77" spans="1:21" x14ac:dyDescent="0.25">
      <c r="A77" s="45" t="s">
        <v>443</v>
      </c>
      <c r="C77" s="51"/>
    </row>
    <row r="78" spans="1:21" x14ac:dyDescent="0.25">
      <c r="A78" s="53" t="s">
        <v>546</v>
      </c>
      <c r="B78" s="46" t="s">
        <v>569</v>
      </c>
      <c r="C78" s="51">
        <v>452397</v>
      </c>
    </row>
    <row r="79" spans="1:21" x14ac:dyDescent="0.25">
      <c r="A79" s="53" t="s">
        <v>547</v>
      </c>
      <c r="B79" s="46" t="s">
        <v>570</v>
      </c>
      <c r="C79" s="55">
        <v>106225</v>
      </c>
    </row>
    <row r="80" spans="1:21" x14ac:dyDescent="0.25">
      <c r="C80" s="51">
        <f>SUM(C78:C79)</f>
        <v>558622</v>
      </c>
    </row>
    <row r="81" spans="1:4" x14ac:dyDescent="0.25">
      <c r="C81" s="51"/>
    </row>
    <row r="82" spans="1:4" x14ac:dyDescent="0.25">
      <c r="C82" s="51"/>
    </row>
    <row r="83" spans="1:4" x14ac:dyDescent="0.25">
      <c r="C83" s="51"/>
    </row>
    <row r="84" spans="1:4" x14ac:dyDescent="0.25">
      <c r="B84" s="45" t="s">
        <v>548</v>
      </c>
      <c r="C84" s="72" t="s">
        <v>549</v>
      </c>
      <c r="D84" s="45" t="s">
        <v>550</v>
      </c>
    </row>
    <row r="85" spans="1:4" x14ac:dyDescent="0.25">
      <c r="A85" s="46" t="s">
        <v>448</v>
      </c>
      <c r="B85" s="46">
        <f>O30</f>
        <v>2.2982025959997893E-2</v>
      </c>
      <c r="C85" s="51">
        <f>B85*$C$76</f>
        <v>18042.935778908784</v>
      </c>
      <c r="D85" s="95">
        <f>$C$80*B85</f>
        <v>12838.265305825944</v>
      </c>
    </row>
    <row r="86" spans="1:4" x14ac:dyDescent="0.25">
      <c r="A86" s="46" t="s">
        <v>449</v>
      </c>
      <c r="B86" s="46">
        <f>O35+O32</f>
        <v>0.23158942198209803</v>
      </c>
      <c r="C86" s="51">
        <f t="shared" ref="C86:C93" si="11">B86*$C$76</f>
        <v>181818.30771450337</v>
      </c>
      <c r="D86" s="95">
        <f t="shared" ref="D86:D93" si="12">$C$80*B86</f>
        <v>129370.94608648357</v>
      </c>
    </row>
    <row r="87" spans="1:4" x14ac:dyDescent="0.25">
      <c r="A87" s="53" t="s">
        <v>450</v>
      </c>
      <c r="B87" s="46">
        <f>O36</f>
        <v>1.7857263582692989E-2</v>
      </c>
      <c r="C87" s="51">
        <f t="shared" si="11"/>
        <v>14019.541208872857</v>
      </c>
      <c r="D87" s="95">
        <f t="shared" si="12"/>
        <v>9975.4602970911237</v>
      </c>
    </row>
    <row r="88" spans="1:4" ht="13.8" customHeight="1" x14ac:dyDescent="0.25">
      <c r="A88" s="46" t="s">
        <v>451</v>
      </c>
      <c r="B88" s="46">
        <f>O38</f>
        <v>0.11742403011354141</v>
      </c>
      <c r="C88" s="51">
        <f t="shared" si="11"/>
        <v>92188.314377810108</v>
      </c>
      <c r="D88" s="95">
        <f t="shared" si="12"/>
        <v>65595.646550086734</v>
      </c>
    </row>
    <row r="89" spans="1:4" x14ac:dyDescent="0.25">
      <c r="A89" s="46" t="s">
        <v>452</v>
      </c>
      <c r="B89" s="46">
        <f>O40</f>
        <v>0.49656053867695177</v>
      </c>
      <c r="C89" s="51">
        <f t="shared" si="11"/>
        <v>389844.21674934938</v>
      </c>
      <c r="D89" s="95">
        <f t="shared" si="12"/>
        <v>277389.64123679616</v>
      </c>
    </row>
    <row r="90" spans="1:4" x14ac:dyDescent="0.25">
      <c r="A90" s="46" t="s">
        <v>453</v>
      </c>
      <c r="B90" s="46">
        <f>O44</f>
        <v>6.1884093939417031E-2</v>
      </c>
      <c r="C90" s="51">
        <f t="shared" si="11"/>
        <v>48584.521426802981</v>
      </c>
      <c r="D90" s="95">
        <f t="shared" si="12"/>
        <v>34569.816324625019</v>
      </c>
    </row>
    <row r="91" spans="1:4" x14ac:dyDescent="0.25">
      <c r="A91" s="46" t="s">
        <v>454</v>
      </c>
      <c r="B91" s="46">
        <f>O48</f>
        <v>2.90260630641015E-2</v>
      </c>
      <c r="C91" s="51">
        <f t="shared" si="11"/>
        <v>22788.042824932381</v>
      </c>
      <c r="D91" s="95">
        <f t="shared" si="12"/>
        <v>16214.597400994508</v>
      </c>
    </row>
    <row r="92" spans="1:4" x14ac:dyDescent="0.25">
      <c r="A92" s="46" t="s">
        <v>455</v>
      </c>
      <c r="B92" s="46">
        <f>O50</f>
        <v>9.0928639705620956E-3</v>
      </c>
      <c r="C92" s="51">
        <f t="shared" si="11"/>
        <v>7138.7074817846251</v>
      </c>
      <c r="D92" s="95">
        <f t="shared" si="12"/>
        <v>5079.4738569633391</v>
      </c>
    </row>
    <row r="93" spans="1:4" x14ac:dyDescent="0.25">
      <c r="A93" s="46" t="s">
        <v>456</v>
      </c>
      <c r="B93" s="46">
        <f>O52</f>
        <v>1.3583698710637443E-2</v>
      </c>
      <c r="C93" s="51">
        <f t="shared" si="11"/>
        <v>10664.41243703564</v>
      </c>
      <c r="D93" s="95">
        <f t="shared" si="12"/>
        <v>7588.1529411337096</v>
      </c>
    </row>
    <row r="94" spans="1:4" x14ac:dyDescent="0.25">
      <c r="C94" s="51">
        <f>SUM(C85:C93)</f>
        <v>785089</v>
      </c>
      <c r="D94" s="51">
        <f>SUM(D85:D93)</f>
        <v>558622.00000000012</v>
      </c>
    </row>
    <row r="95" spans="1:4" x14ac:dyDescent="0.25">
      <c r="C95" s="51"/>
    </row>
    <row r="96" spans="1:4" x14ac:dyDescent="0.25">
      <c r="C96" s="51"/>
    </row>
    <row r="97" spans="3:3" x14ac:dyDescent="0.25">
      <c r="C97" s="51"/>
    </row>
    <row r="98" spans="3:3" x14ac:dyDescent="0.25">
      <c r="C98" s="51"/>
    </row>
    <row r="99" spans="3:3" x14ac:dyDescent="0.25">
      <c r="C99" s="51"/>
    </row>
    <row r="100" spans="3:3" x14ac:dyDescent="0.25">
      <c r="C100" s="51"/>
    </row>
    <row r="101" spans="3:3" x14ac:dyDescent="0.25">
      <c r="C101" s="51"/>
    </row>
    <row r="102" spans="3:3" x14ac:dyDescent="0.25">
      <c r="C102" s="51"/>
    </row>
    <row r="103" spans="3:3" x14ac:dyDescent="0.25">
      <c r="C103" s="51"/>
    </row>
    <row r="104" spans="3:3" x14ac:dyDescent="0.25">
      <c r="C104" s="51"/>
    </row>
    <row r="105" spans="3:3" x14ac:dyDescent="0.25">
      <c r="C105" s="51"/>
    </row>
    <row r="106" spans="3:3" x14ac:dyDescent="0.25">
      <c r="C106" s="51"/>
    </row>
    <row r="107" spans="3:3" x14ac:dyDescent="0.25">
      <c r="C107" s="51"/>
    </row>
    <row r="108" spans="3:3" x14ac:dyDescent="0.25">
      <c r="C108" s="51"/>
    </row>
    <row r="109" spans="3:3" x14ac:dyDescent="0.25">
      <c r="C109" s="51"/>
    </row>
    <row r="110" spans="3:3" x14ac:dyDescent="0.25">
      <c r="C110" s="51"/>
    </row>
    <row r="111" spans="3:3" x14ac:dyDescent="0.25">
      <c r="C111" s="51"/>
    </row>
    <row r="112" spans="3:3" x14ac:dyDescent="0.25">
      <c r="C112" s="51"/>
    </row>
    <row r="113" spans="3:3" x14ac:dyDescent="0.25">
      <c r="C113" s="51"/>
    </row>
    <row r="114" spans="3:3" x14ac:dyDescent="0.25">
      <c r="C114" s="51"/>
    </row>
    <row r="115" spans="3:3" x14ac:dyDescent="0.25">
      <c r="C115" s="51"/>
    </row>
    <row r="116" spans="3:3" x14ac:dyDescent="0.25">
      <c r="C116" s="51"/>
    </row>
    <row r="117" spans="3:3" x14ac:dyDescent="0.25">
      <c r="C117" s="51"/>
    </row>
    <row r="118" spans="3:3" x14ac:dyDescent="0.25">
      <c r="C118" s="51"/>
    </row>
    <row r="119" spans="3:3" x14ac:dyDescent="0.25">
      <c r="C119" s="51"/>
    </row>
    <row r="120" spans="3:3" x14ac:dyDescent="0.25">
      <c r="C120" s="51"/>
    </row>
    <row r="121" spans="3:3" x14ac:dyDescent="0.25">
      <c r="C121" s="51"/>
    </row>
    <row r="122" spans="3:3" x14ac:dyDescent="0.25">
      <c r="C122" s="51"/>
    </row>
    <row r="123" spans="3:3" x14ac:dyDescent="0.25">
      <c r="C123" s="51"/>
    </row>
    <row r="124" spans="3:3" x14ac:dyDescent="0.25">
      <c r="C124" s="51"/>
    </row>
    <row r="125" spans="3:3" x14ac:dyDescent="0.25">
      <c r="C125" s="51"/>
    </row>
    <row r="126" spans="3:3" x14ac:dyDescent="0.25">
      <c r="C126" s="51"/>
    </row>
    <row r="127" spans="3:3" x14ac:dyDescent="0.25">
      <c r="C127" s="51"/>
    </row>
    <row r="128" spans="3:3" x14ac:dyDescent="0.25">
      <c r="C128" s="51"/>
    </row>
    <row r="129" spans="3:3" x14ac:dyDescent="0.25">
      <c r="C129" s="51"/>
    </row>
    <row r="130" spans="3:3" x14ac:dyDescent="0.25">
      <c r="C130" s="51"/>
    </row>
    <row r="131" spans="3:3" x14ac:dyDescent="0.25">
      <c r="C131" s="51"/>
    </row>
    <row r="132" spans="3:3" x14ac:dyDescent="0.25">
      <c r="C132" s="51"/>
    </row>
    <row r="133" spans="3:3" x14ac:dyDescent="0.25">
      <c r="C133" s="51"/>
    </row>
    <row r="134" spans="3:3" x14ac:dyDescent="0.25">
      <c r="C134" s="51"/>
    </row>
    <row r="135" spans="3:3" x14ac:dyDescent="0.25">
      <c r="C135" s="51"/>
    </row>
    <row r="136" spans="3:3" x14ac:dyDescent="0.25">
      <c r="C136" s="51"/>
    </row>
    <row r="137" spans="3:3" x14ac:dyDescent="0.25">
      <c r="C137" s="51"/>
    </row>
    <row r="138" spans="3:3" x14ac:dyDescent="0.25">
      <c r="C138" s="51"/>
    </row>
    <row r="139" spans="3:3" x14ac:dyDescent="0.25">
      <c r="C139" s="51"/>
    </row>
    <row r="140" spans="3:3" x14ac:dyDescent="0.25">
      <c r="C140" s="51"/>
    </row>
    <row r="141" spans="3:3" x14ac:dyDescent="0.25">
      <c r="C141" s="51"/>
    </row>
    <row r="142" spans="3:3" x14ac:dyDescent="0.25">
      <c r="C142" s="51"/>
    </row>
    <row r="143" spans="3:3" x14ac:dyDescent="0.25">
      <c r="C143" s="51"/>
    </row>
    <row r="144" spans="3:3" x14ac:dyDescent="0.25">
      <c r="C144" s="51"/>
    </row>
    <row r="145" spans="3:3" x14ac:dyDescent="0.25">
      <c r="C145" s="51"/>
    </row>
    <row r="146" spans="3:3" x14ac:dyDescent="0.25">
      <c r="C146" s="51"/>
    </row>
    <row r="147" spans="3:3" x14ac:dyDescent="0.25">
      <c r="C147" s="51"/>
    </row>
    <row r="148" spans="3:3" x14ac:dyDescent="0.25">
      <c r="C148" s="51"/>
    </row>
    <row r="149" spans="3:3" x14ac:dyDescent="0.25">
      <c r="C149" s="51"/>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78971-12D3-4A79-8A26-2A5E460BD80C}">
  <dimension ref="A1:X30"/>
  <sheetViews>
    <sheetView workbookViewId="0">
      <selection activeCell="P16" sqref="P16"/>
    </sheetView>
  </sheetViews>
  <sheetFormatPr defaultColWidth="9.109375" defaultRowHeight="13.8" x14ac:dyDescent="0.3"/>
  <cols>
    <col min="1" max="1" width="29" style="98" customWidth="1"/>
    <col min="2" max="2" width="25.33203125" style="98" customWidth="1"/>
    <col min="3" max="5" width="10.5546875" style="98" bestFit="1" customWidth="1"/>
    <col min="6" max="6" width="9.88671875" style="98" bestFit="1" customWidth="1"/>
    <col min="7" max="10" width="10.5546875" style="98" bestFit="1" customWidth="1"/>
    <col min="11" max="12" width="9.88671875" style="98" bestFit="1" customWidth="1"/>
    <col min="13" max="14" width="10.5546875" style="98" bestFit="1" customWidth="1"/>
    <col min="15" max="15" width="9.109375" style="98"/>
    <col min="16" max="16" width="16" style="98" bestFit="1" customWidth="1"/>
    <col min="17" max="17" width="9.109375" style="99"/>
    <col min="18" max="20" width="9.109375" style="98"/>
    <col min="21" max="21" width="10.44140625" style="98" bestFit="1" customWidth="1"/>
    <col min="22" max="22" width="9.44140625" style="98" bestFit="1" customWidth="1"/>
    <col min="23" max="16384" width="9.109375" style="98"/>
  </cols>
  <sheetData>
    <row r="1" spans="1:24" x14ac:dyDescent="0.3">
      <c r="A1" s="96" t="s">
        <v>571</v>
      </c>
      <c r="B1" s="97"/>
    </row>
    <row r="2" spans="1:24" x14ac:dyDescent="0.3">
      <c r="A2" s="100" t="s">
        <v>572</v>
      </c>
      <c r="B2" s="100" t="s">
        <v>3</v>
      </c>
      <c r="C2" s="101">
        <v>44562</v>
      </c>
      <c r="D2" s="101">
        <v>44593</v>
      </c>
      <c r="E2" s="101">
        <v>44621</v>
      </c>
      <c r="F2" s="101">
        <v>44652</v>
      </c>
      <c r="G2" s="101">
        <v>44682</v>
      </c>
      <c r="H2" s="101">
        <v>44713</v>
      </c>
      <c r="I2" s="101">
        <v>44743</v>
      </c>
      <c r="J2" s="101">
        <v>44774</v>
      </c>
      <c r="K2" s="101">
        <v>44805</v>
      </c>
      <c r="L2" s="101">
        <v>44835</v>
      </c>
      <c r="M2" s="101">
        <v>44866</v>
      </c>
      <c r="N2" s="101">
        <v>44896</v>
      </c>
      <c r="O2" s="101"/>
      <c r="P2" s="100" t="s">
        <v>573</v>
      </c>
      <c r="T2" s="99"/>
      <c r="U2" s="99"/>
      <c r="V2" s="99"/>
      <c r="W2" s="99"/>
      <c r="X2" s="99"/>
    </row>
    <row r="3" spans="1:24" x14ac:dyDescent="0.3">
      <c r="Q3" s="102" t="s">
        <v>5</v>
      </c>
      <c r="T3" s="99"/>
      <c r="U3" s="99"/>
      <c r="V3" s="99"/>
      <c r="W3" s="99"/>
      <c r="X3" s="99"/>
    </row>
    <row r="4" spans="1:24" x14ac:dyDescent="0.3">
      <c r="A4" s="98" t="s">
        <v>574</v>
      </c>
      <c r="C4" s="103">
        <f>12555+11970+8910+11790</f>
        <v>45225</v>
      </c>
      <c r="D4" s="103">
        <f>10845+11160+7830+10935</f>
        <v>40770</v>
      </c>
      <c r="E4" s="103">
        <f>4320+6525+5985+6390</f>
        <v>23220</v>
      </c>
      <c r="F4" s="103">
        <f>6435+6930+8505+6930</f>
        <v>28800</v>
      </c>
      <c r="G4" s="103">
        <f>6705+7110+7650+6165+6300</f>
        <v>33930</v>
      </c>
      <c r="H4" s="103">
        <f>5850+6525+6480+6570</f>
        <v>25425</v>
      </c>
      <c r="I4" s="103">
        <f>5625+5715+5850+6795</f>
        <v>23985</v>
      </c>
      <c r="J4" s="103">
        <f>5625-5625+5625+6210+6030+5670</f>
        <v>23535</v>
      </c>
      <c r="K4" s="103">
        <f>5625-5625</f>
        <v>0</v>
      </c>
      <c r="L4" s="103">
        <f>5895+5715+5535+5445+5580+5625+5940+6525+5400</f>
        <v>51660</v>
      </c>
      <c r="M4" s="103">
        <f>6210+6210+6165+6750+5580</f>
        <v>30915</v>
      </c>
      <c r="N4" s="103">
        <f>6390+6795+7965+6750+7335</f>
        <v>35235</v>
      </c>
      <c r="O4" s="103"/>
      <c r="P4" s="103">
        <f>SUM(C4:O4)</f>
        <v>362700</v>
      </c>
      <c r="Q4" s="99" t="s">
        <v>575</v>
      </c>
      <c r="T4" s="99" t="s">
        <v>5</v>
      </c>
      <c r="U4" s="104">
        <f>P6+P9+P10+P5+P8</f>
        <v>90756.030000000013</v>
      </c>
      <c r="V4" s="99"/>
      <c r="W4" s="99"/>
      <c r="X4" s="99"/>
    </row>
    <row r="5" spans="1:24" x14ac:dyDescent="0.3">
      <c r="A5" s="98" t="s">
        <v>576</v>
      </c>
      <c r="C5" s="103">
        <f>65.4+65.4+65.76+0.42+1125+1200+795+1200+342.86</f>
        <v>4859.8399999999992</v>
      </c>
      <c r="D5" s="103">
        <f>-342.86+65.4+65.76+65.4+65.73-0.64+1200+495+1200+1125+336.43</f>
        <v>4275.22</v>
      </c>
      <c r="E5" s="103">
        <f>-336.43+65.4+65.7+65.4+65.7+1177.5+1117.5+1147.5+1200+857.14-0.69</f>
        <v>5424.7200000000012</v>
      </c>
      <c r="F5" s="103">
        <f>-857.14+1200+1200+1177.5+690</f>
        <v>3410.36</v>
      </c>
      <c r="G5" s="103"/>
      <c r="H5" s="103"/>
      <c r="I5" s="103"/>
      <c r="J5" s="103"/>
      <c r="K5" s="103"/>
      <c r="L5" s="103">
        <f>293.25+101.86</f>
        <v>395.11</v>
      </c>
      <c r="M5" s="103">
        <f>-101.86+356.5+327.75+534.75+310.5+223.43</f>
        <v>1651.07</v>
      </c>
      <c r="N5" s="103">
        <f>-223.43+391+333.5+419.75+304.75+138</f>
        <v>1363.57</v>
      </c>
      <c r="O5" s="103"/>
      <c r="P5" s="103">
        <f t="shared" ref="P5:P11" si="0">SUM(C5:O5)</f>
        <v>21379.89</v>
      </c>
      <c r="Q5" s="99" t="s">
        <v>577</v>
      </c>
      <c r="T5" s="99" t="s">
        <v>575</v>
      </c>
      <c r="U5" s="104">
        <f>P4+P11</f>
        <v>64747.079999999958</v>
      </c>
      <c r="V5" s="99"/>
      <c r="W5" s="99"/>
      <c r="X5" s="99"/>
    </row>
    <row r="6" spans="1:24" x14ac:dyDescent="0.3">
      <c r="A6" s="98" t="s">
        <v>578</v>
      </c>
      <c r="B6" s="98" t="s">
        <v>579</v>
      </c>
      <c r="C6" s="103">
        <f>15199.02+1499.25</f>
        <v>16698.27</v>
      </c>
      <c r="D6" s="103">
        <f>10178.68+4986.5+498.5</f>
        <v>15663.68</v>
      </c>
      <c r="E6" s="103">
        <f>-120.23+1474.6+249.65+199.4+44.88+333.28</f>
        <v>2181.58</v>
      </c>
      <c r="F6" s="103">
        <v>604.12</v>
      </c>
      <c r="G6" s="103">
        <f>2546.03+1717.23</f>
        <v>4263.26</v>
      </c>
      <c r="H6" s="103">
        <f>85.96+317.94</f>
        <v>403.9</v>
      </c>
      <c r="I6" s="103">
        <f>680.68+264.21+345.9</f>
        <v>1290.79</v>
      </c>
      <c r="J6" s="103">
        <f>408.99+330.94+329.01</f>
        <v>1068.94</v>
      </c>
      <c r="K6" s="103">
        <f>690.3+1021.15+799.38+20</f>
        <v>2530.83</v>
      </c>
      <c r="L6" s="103">
        <f>78.4+1724.36+408.7</f>
        <v>2211.46</v>
      </c>
      <c r="M6" s="103">
        <f>396.66+888.14</f>
        <v>1284.8</v>
      </c>
      <c r="N6" s="103">
        <f>893.9+248.72+933.11</f>
        <v>2075.73</v>
      </c>
      <c r="O6" s="103"/>
      <c r="P6" s="103">
        <f t="shared" si="0"/>
        <v>50277.360000000015</v>
      </c>
      <c r="Q6" s="99" t="s">
        <v>580</v>
      </c>
      <c r="T6" s="99" t="s">
        <v>581</v>
      </c>
      <c r="U6" s="105">
        <f>P7</f>
        <v>139</v>
      </c>
      <c r="V6" s="99"/>
      <c r="W6" s="99"/>
      <c r="X6" s="99"/>
    </row>
    <row r="7" spans="1:24" x14ac:dyDescent="0.3">
      <c r="A7" s="98" t="s">
        <v>582</v>
      </c>
      <c r="C7" s="103"/>
      <c r="D7" s="103"/>
      <c r="E7" s="103"/>
      <c r="F7" s="103"/>
      <c r="G7" s="103">
        <v>139</v>
      </c>
      <c r="H7" s="103"/>
      <c r="I7" s="103"/>
      <c r="J7" s="103"/>
      <c r="K7" s="103"/>
      <c r="L7" s="103"/>
      <c r="M7" s="103"/>
      <c r="N7" s="103"/>
      <c r="O7" s="103"/>
      <c r="P7" s="103">
        <f t="shared" si="0"/>
        <v>139</v>
      </c>
      <c r="Q7" s="99" t="s">
        <v>583</v>
      </c>
      <c r="T7" s="99"/>
      <c r="U7" s="104">
        <f>SUM(U4:U6)</f>
        <v>155642.10999999999</v>
      </c>
      <c r="V7" s="99"/>
      <c r="W7" s="99"/>
      <c r="X7" s="99"/>
    </row>
    <row r="8" spans="1:24" x14ac:dyDescent="0.3">
      <c r="A8" s="98" t="s">
        <v>584</v>
      </c>
      <c r="C8" s="103">
        <v>1849.5</v>
      </c>
      <c r="D8" s="103"/>
      <c r="E8" s="103"/>
      <c r="F8" s="103"/>
      <c r="G8" s="103"/>
      <c r="H8" s="103"/>
      <c r="I8" s="103"/>
      <c r="J8" s="103"/>
      <c r="K8" s="103"/>
      <c r="L8" s="103"/>
      <c r="M8" s="103"/>
      <c r="N8" s="103"/>
      <c r="O8" s="103"/>
      <c r="P8" s="103">
        <f t="shared" si="0"/>
        <v>1849.5</v>
      </c>
      <c r="Q8" s="99" t="s">
        <v>585</v>
      </c>
      <c r="T8" s="99"/>
      <c r="U8" s="99"/>
      <c r="V8" s="99"/>
      <c r="W8" s="99"/>
      <c r="X8" s="99"/>
    </row>
    <row r="9" spans="1:24" x14ac:dyDescent="0.3">
      <c r="A9" s="98" t="s">
        <v>586</v>
      </c>
      <c r="C9" s="103"/>
      <c r="D9" s="103"/>
      <c r="E9" s="103"/>
      <c r="F9" s="103"/>
      <c r="G9" s="103"/>
      <c r="H9" s="103">
        <v>76.48</v>
      </c>
      <c r="I9" s="103"/>
      <c r="J9" s="103"/>
      <c r="K9" s="103"/>
      <c r="L9" s="103"/>
      <c r="M9" s="103"/>
      <c r="N9" s="103"/>
      <c r="O9" s="103"/>
      <c r="P9" s="103">
        <f t="shared" si="0"/>
        <v>76.48</v>
      </c>
      <c r="Q9" s="99" t="s">
        <v>587</v>
      </c>
      <c r="T9" s="99"/>
      <c r="U9" s="99"/>
      <c r="V9" s="99"/>
      <c r="W9" s="99"/>
      <c r="X9" s="99"/>
    </row>
    <row r="10" spans="1:24" ht="27.6" x14ac:dyDescent="0.3">
      <c r="A10" s="106" t="s">
        <v>588</v>
      </c>
      <c r="C10" s="103">
        <f>1116+1687.5+369.3</f>
        <v>3172.8</v>
      </c>
      <c r="D10" s="103"/>
      <c r="E10" s="103"/>
      <c r="F10" s="103"/>
      <c r="G10" s="103"/>
      <c r="H10" s="103"/>
      <c r="I10" s="103"/>
      <c r="J10" s="103"/>
      <c r="K10" s="103">
        <v>14000</v>
      </c>
      <c r="L10" s="103"/>
      <c r="M10" s="103"/>
      <c r="N10" s="103"/>
      <c r="O10" s="103"/>
      <c r="P10" s="103">
        <f t="shared" si="0"/>
        <v>17172.8</v>
      </c>
      <c r="Q10" s="99" t="s">
        <v>580</v>
      </c>
      <c r="T10" s="99"/>
      <c r="U10" s="107"/>
      <c r="V10" s="104"/>
      <c r="W10" s="99"/>
      <c r="X10" s="99"/>
    </row>
    <row r="11" spans="1:24" ht="27.6" x14ac:dyDescent="0.3">
      <c r="A11" s="106" t="s">
        <v>589</v>
      </c>
      <c r="C11" s="103"/>
      <c r="D11" s="103">
        <f>-29940-1481.32-1481.32-1481.32</f>
        <v>-34383.96</v>
      </c>
      <c r="E11" s="103">
        <v>-29820</v>
      </c>
      <c r="F11" s="103">
        <f>-1481.32-18960</f>
        <v>-20441.32</v>
      </c>
      <c r="G11" s="103">
        <f>-20760-1481.32-28860</f>
        <v>-51101.32</v>
      </c>
      <c r="H11" s="103">
        <v>-1481.32</v>
      </c>
      <c r="I11" s="103">
        <f>-28200-10692-28320-506.09</f>
        <v>-67718.09</v>
      </c>
      <c r="J11" s="103">
        <f>-2403.91-10692-37560</f>
        <v>-50655.91</v>
      </c>
      <c r="K11" s="103">
        <f>-1455-10692</f>
        <v>-12147</v>
      </c>
      <c r="L11" s="103"/>
      <c r="M11" s="103">
        <f>-10068-10068</f>
        <v>-20136</v>
      </c>
      <c r="N11" s="103">
        <v>-10068</v>
      </c>
      <c r="O11" s="103"/>
      <c r="P11" s="103">
        <f t="shared" si="0"/>
        <v>-297952.92000000004</v>
      </c>
      <c r="Q11" s="99" t="s">
        <v>575</v>
      </c>
      <c r="T11" s="99" t="s">
        <v>590</v>
      </c>
      <c r="U11" s="107">
        <v>2.1</v>
      </c>
      <c r="V11" s="104">
        <f>P8</f>
        <v>1849.5</v>
      </c>
      <c r="W11" s="99"/>
      <c r="X11" s="99"/>
    </row>
    <row r="12" spans="1:24" x14ac:dyDescent="0.3">
      <c r="C12" s="103"/>
      <c r="D12" s="103"/>
      <c r="E12" s="103"/>
      <c r="F12" s="103"/>
      <c r="G12" s="103"/>
      <c r="H12" s="103"/>
      <c r="I12" s="103"/>
      <c r="J12" s="103"/>
      <c r="K12" s="103"/>
      <c r="L12" s="103"/>
      <c r="M12" s="103"/>
      <c r="N12" s="103"/>
      <c r="O12" s="103"/>
      <c r="P12" s="103"/>
      <c r="T12" s="99"/>
      <c r="U12" s="99">
        <v>2.4</v>
      </c>
      <c r="V12" s="104">
        <f>P5</f>
        <v>21379.89</v>
      </c>
      <c r="W12" s="99"/>
      <c r="X12" s="99"/>
    </row>
    <row r="13" spans="1:24" x14ac:dyDescent="0.3">
      <c r="C13" s="103"/>
      <c r="D13" s="103"/>
      <c r="E13" s="103"/>
      <c r="F13" s="103"/>
      <c r="G13" s="103"/>
      <c r="H13" s="103"/>
      <c r="I13" s="103"/>
      <c r="J13" s="103"/>
      <c r="K13" s="103"/>
      <c r="L13" s="103"/>
      <c r="M13" s="103"/>
      <c r="N13" s="103"/>
      <c r="O13" s="103"/>
      <c r="P13" s="103"/>
      <c r="T13" s="99"/>
      <c r="U13" s="99">
        <v>3.23</v>
      </c>
      <c r="V13" s="104">
        <f>P9</f>
        <v>76.48</v>
      </c>
      <c r="W13" s="99"/>
      <c r="X13" s="99"/>
    </row>
    <row r="14" spans="1:24" x14ac:dyDescent="0.3">
      <c r="B14" s="98" t="s">
        <v>591</v>
      </c>
      <c r="C14" s="103">
        <f t="shared" ref="C14:N14" si="1">SUM(C4:C13)</f>
        <v>71805.41</v>
      </c>
      <c r="D14" s="103">
        <f t="shared" si="1"/>
        <v>26324.940000000002</v>
      </c>
      <c r="E14" s="103">
        <f t="shared" si="1"/>
        <v>1006.3000000000029</v>
      </c>
      <c r="F14" s="103">
        <f t="shared" si="1"/>
        <v>12373.160000000003</v>
      </c>
      <c r="G14" s="103">
        <f t="shared" si="1"/>
        <v>-12769.059999999998</v>
      </c>
      <c r="H14" s="103">
        <f t="shared" si="1"/>
        <v>24424.06</v>
      </c>
      <c r="I14" s="103">
        <f t="shared" si="1"/>
        <v>-42442.299999999996</v>
      </c>
      <c r="J14" s="103">
        <f t="shared" si="1"/>
        <v>-26051.970000000005</v>
      </c>
      <c r="K14" s="103">
        <f t="shared" si="1"/>
        <v>4383.8300000000017</v>
      </c>
      <c r="L14" s="103">
        <f t="shared" si="1"/>
        <v>54266.57</v>
      </c>
      <c r="M14" s="103">
        <f t="shared" si="1"/>
        <v>13714.870000000003</v>
      </c>
      <c r="N14" s="103">
        <f t="shared" si="1"/>
        <v>28606.300000000003</v>
      </c>
      <c r="O14" s="103"/>
      <c r="P14" s="103">
        <f>SUM(C14:O14)</f>
        <v>155642.10999999999</v>
      </c>
      <c r="T14" s="99"/>
      <c r="U14" s="99">
        <v>3.89</v>
      </c>
      <c r="V14" s="105">
        <f>P10+P6</f>
        <v>67450.160000000018</v>
      </c>
      <c r="W14" s="99"/>
      <c r="X14" s="99"/>
    </row>
    <row r="15" spans="1:24" x14ac:dyDescent="0.3">
      <c r="C15" s="103"/>
      <c r="D15" s="103"/>
      <c r="E15" s="103"/>
      <c r="F15" s="103"/>
      <c r="G15" s="103"/>
      <c r="H15" s="103"/>
      <c r="I15" s="103"/>
      <c r="J15" s="103"/>
      <c r="K15" s="103"/>
      <c r="L15" s="103"/>
      <c r="M15" s="103"/>
      <c r="N15" s="103"/>
      <c r="O15" s="103"/>
      <c r="P15" s="103"/>
      <c r="T15" s="99"/>
      <c r="U15" s="99"/>
      <c r="V15" s="104">
        <f>SUM(V10:V14)</f>
        <v>90756.030000000013</v>
      </c>
      <c r="W15" s="99"/>
      <c r="X15" s="99"/>
    </row>
    <row r="16" spans="1:24" x14ac:dyDescent="0.3">
      <c r="B16" s="108" t="s">
        <v>592</v>
      </c>
      <c r="C16" s="109">
        <f>71805.41</f>
        <v>71805.41</v>
      </c>
      <c r="D16" s="109">
        <f>61052.43-34727.46</f>
        <v>26324.97</v>
      </c>
      <c r="E16" s="109">
        <f>31283.65-30277.35</f>
        <v>1006.3000000000029</v>
      </c>
      <c r="F16" s="109">
        <v>12373.16</v>
      </c>
      <c r="G16" s="109">
        <f>38332.26-51101.32</f>
        <v>-12769.059999999998</v>
      </c>
      <c r="H16" s="109">
        <f>25905.38-1481.32</f>
        <v>24424.06</v>
      </c>
      <c r="I16" s="109">
        <f>25275.79-67718.09</f>
        <v>-42442.299999999996</v>
      </c>
      <c r="J16" s="109">
        <f>30228.94-56280.91</f>
        <v>-26051.970000000005</v>
      </c>
      <c r="K16" s="109">
        <f>22155.83-17772</f>
        <v>4383.8300000000017</v>
      </c>
      <c r="L16" s="109">
        <v>54266.57</v>
      </c>
      <c r="M16" s="109">
        <f>33952.73-20237.86</f>
        <v>13714.870000000003</v>
      </c>
      <c r="N16" s="109">
        <f>38897.73-10291.43</f>
        <v>28606.300000000003</v>
      </c>
      <c r="O16" s="109"/>
      <c r="P16" s="109">
        <f>SUM(C16:O16)</f>
        <v>155642.14000000001</v>
      </c>
      <c r="T16" s="99"/>
      <c r="U16" s="99"/>
      <c r="V16" s="99"/>
      <c r="W16" s="99"/>
      <c r="X16" s="99"/>
    </row>
    <row r="17" spans="3:24" x14ac:dyDescent="0.3">
      <c r="C17" s="103"/>
      <c r="D17" s="103"/>
      <c r="E17" s="103"/>
      <c r="F17" s="103"/>
      <c r="G17" s="103"/>
      <c r="H17" s="103"/>
      <c r="I17" s="103"/>
      <c r="J17" s="103"/>
      <c r="K17" s="103"/>
      <c r="L17" s="103"/>
      <c r="M17" s="103"/>
      <c r="N17" s="103"/>
      <c r="O17" s="103"/>
      <c r="P17" s="103"/>
      <c r="T17" s="99"/>
      <c r="U17" s="99"/>
      <c r="V17" s="99"/>
      <c r="W17" s="99"/>
      <c r="X17" s="99"/>
    </row>
    <row r="18" spans="3:24" x14ac:dyDescent="0.3">
      <c r="T18" s="99"/>
      <c r="U18" s="99"/>
      <c r="V18" s="99"/>
      <c r="W18" s="99"/>
      <c r="X18" s="99"/>
    </row>
    <row r="19" spans="3:24" x14ac:dyDescent="0.3">
      <c r="T19" s="99"/>
      <c r="U19" s="99"/>
      <c r="V19" s="99"/>
      <c r="W19" s="99"/>
      <c r="X19" s="99"/>
    </row>
    <row r="20" spans="3:24" x14ac:dyDescent="0.3">
      <c r="T20" s="99"/>
      <c r="U20" s="99"/>
      <c r="V20" s="99"/>
      <c r="W20" s="99"/>
      <c r="X20" s="99"/>
    </row>
    <row r="21" spans="3:24" x14ac:dyDescent="0.3">
      <c r="T21" s="99"/>
      <c r="U21" s="99"/>
      <c r="V21" s="99"/>
      <c r="W21" s="99"/>
      <c r="X21" s="99"/>
    </row>
    <row r="22" spans="3:24" x14ac:dyDescent="0.3">
      <c r="T22" s="99"/>
      <c r="U22" s="99"/>
      <c r="V22" s="99"/>
      <c r="W22" s="99"/>
      <c r="X22" s="99"/>
    </row>
    <row r="23" spans="3:24" x14ac:dyDescent="0.3">
      <c r="T23" s="99"/>
      <c r="U23" s="99"/>
      <c r="V23" s="99"/>
      <c r="W23" s="99"/>
      <c r="X23" s="99"/>
    </row>
    <row r="24" spans="3:24" x14ac:dyDescent="0.3">
      <c r="T24" s="99"/>
      <c r="U24" s="99"/>
      <c r="V24" s="99"/>
      <c r="W24" s="99"/>
      <c r="X24" s="99"/>
    </row>
    <row r="25" spans="3:24" x14ac:dyDescent="0.3">
      <c r="T25" s="99"/>
      <c r="U25" s="99"/>
      <c r="V25" s="99"/>
      <c r="W25" s="99"/>
      <c r="X25" s="99"/>
    </row>
    <row r="26" spans="3:24" x14ac:dyDescent="0.3">
      <c r="T26" s="99"/>
      <c r="U26" s="99"/>
      <c r="V26" s="99"/>
      <c r="W26" s="99"/>
      <c r="X26" s="99"/>
    </row>
    <row r="27" spans="3:24" x14ac:dyDescent="0.3">
      <c r="T27" s="99"/>
      <c r="U27" s="99"/>
      <c r="V27" s="99"/>
      <c r="W27" s="99"/>
      <c r="X27" s="99"/>
    </row>
    <row r="28" spans="3:24" x14ac:dyDescent="0.3">
      <c r="T28" s="99"/>
      <c r="U28" s="99"/>
      <c r="V28" s="99"/>
      <c r="W28" s="99"/>
      <c r="X28" s="99"/>
    </row>
    <row r="29" spans="3:24" x14ac:dyDescent="0.3">
      <c r="T29" s="99"/>
      <c r="U29" s="99"/>
      <c r="V29" s="99"/>
      <c r="W29" s="99"/>
      <c r="X29" s="99"/>
    </row>
    <row r="30" spans="3:24" x14ac:dyDescent="0.3">
      <c r="T30" s="99"/>
      <c r="U30" s="99"/>
      <c r="V30" s="99"/>
      <c r="W30" s="99"/>
      <c r="X30" s="99"/>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F29C4-DDA9-4BFF-9410-2031074C7DA2}">
  <sheetPr>
    <pageSetUpPr fitToPage="1"/>
  </sheetPr>
  <dimension ref="A1:P40"/>
  <sheetViews>
    <sheetView zoomScaleNormal="100" workbookViewId="0">
      <selection activeCell="M29" sqref="M29"/>
    </sheetView>
  </sheetViews>
  <sheetFormatPr defaultRowHeight="14.4" x14ac:dyDescent="0.3"/>
  <cols>
    <col min="1" max="1" width="22.44140625" style="111" bestFit="1" customWidth="1"/>
    <col min="2" max="2" width="7" style="111" bestFit="1" customWidth="1"/>
    <col min="3" max="3" width="16.33203125" style="111" bestFit="1" customWidth="1"/>
    <col min="4" max="4" width="5.44140625" style="111" bestFit="1" customWidth="1"/>
    <col min="5" max="6" width="16.109375" style="111" bestFit="1" customWidth="1"/>
    <col min="7" max="7" width="23.33203125" style="111" bestFit="1" customWidth="1"/>
    <col min="8" max="8" width="3.88671875" style="111" bestFit="1" customWidth="1"/>
    <col min="9" max="9" width="21.6640625" style="115" bestFit="1" customWidth="1"/>
    <col min="10" max="10" width="20" style="111" bestFit="1" customWidth="1"/>
    <col min="11" max="11" width="8.44140625" style="111" bestFit="1" customWidth="1"/>
    <col min="12" max="12" width="4" style="111" bestFit="1" customWidth="1"/>
    <col min="13" max="13" width="11.5546875" style="111" bestFit="1" customWidth="1"/>
    <col min="14" max="14" width="12.88671875" style="111" bestFit="1" customWidth="1"/>
    <col min="15" max="15" width="13" style="111" bestFit="1" customWidth="1"/>
    <col min="16" max="16" width="9.5546875" style="111" bestFit="1" customWidth="1"/>
    <col min="17" max="16384" width="8.88671875" style="111"/>
  </cols>
  <sheetData>
    <row r="1" spans="1:14" x14ac:dyDescent="0.3">
      <c r="A1" s="110" t="s">
        <v>593</v>
      </c>
      <c r="H1" s="112"/>
      <c r="I1" s="113" t="s">
        <v>594</v>
      </c>
      <c r="J1" s="112"/>
    </row>
    <row r="2" spans="1:14" ht="15" thickBot="1" x14ac:dyDescent="0.35">
      <c r="A2" s="114"/>
      <c r="M2" s="116" t="s">
        <v>5</v>
      </c>
      <c r="N2" s="117" t="s">
        <v>595</v>
      </c>
    </row>
    <row r="3" spans="1:14" x14ac:dyDescent="0.3">
      <c r="A3" s="111" t="s">
        <v>596</v>
      </c>
      <c r="C3" s="110" t="s">
        <v>597</v>
      </c>
      <c r="D3" s="118"/>
      <c r="E3" s="118"/>
      <c r="F3" s="118"/>
      <c r="G3" s="119" t="s">
        <v>598</v>
      </c>
      <c r="H3" s="120"/>
      <c r="I3" s="121"/>
    </row>
    <row r="4" spans="1:14" x14ac:dyDescent="0.3">
      <c r="A4" s="111" t="s">
        <v>599</v>
      </c>
      <c r="B4" s="122" t="s">
        <v>600</v>
      </c>
      <c r="C4" s="158">
        <v>983869</v>
      </c>
      <c r="D4" s="118"/>
      <c r="E4" s="123" t="s">
        <v>601</v>
      </c>
      <c r="F4" s="123"/>
      <c r="G4" s="124" t="s">
        <v>599</v>
      </c>
      <c r="H4" s="125" t="s">
        <v>600</v>
      </c>
      <c r="I4" s="126">
        <f>C7*0.8363</f>
        <v>1158886.8353000002</v>
      </c>
    </row>
    <row r="5" spans="1:14" x14ac:dyDescent="0.3">
      <c r="B5" s="122" t="s">
        <v>602</v>
      </c>
      <c r="C5" s="158">
        <v>249432</v>
      </c>
      <c r="D5" s="127" t="s">
        <v>597</v>
      </c>
      <c r="E5" s="123" t="s">
        <v>603</v>
      </c>
      <c r="F5" s="123"/>
      <c r="G5" s="124"/>
      <c r="H5" s="125" t="s">
        <v>602</v>
      </c>
      <c r="I5" s="126">
        <f>C7*0.0959</f>
        <v>132891.6029</v>
      </c>
      <c r="K5" s="128">
        <f>I5</f>
        <v>132891.6029</v>
      </c>
      <c r="L5" s="129" t="s">
        <v>604</v>
      </c>
      <c r="M5" s="130">
        <f>K5</f>
        <v>132891.6029</v>
      </c>
      <c r="N5" s="131" t="s">
        <v>605</v>
      </c>
    </row>
    <row r="6" spans="1:14" x14ac:dyDescent="0.3">
      <c r="B6" s="122" t="s">
        <v>606</v>
      </c>
      <c r="C6" s="158">
        <v>152430</v>
      </c>
      <c r="D6" s="118"/>
      <c r="E6" s="123" t="s">
        <v>607</v>
      </c>
      <c r="F6" s="123"/>
      <c r="G6" s="124"/>
      <c r="H6" s="125" t="s">
        <v>606</v>
      </c>
      <c r="I6" s="126">
        <f>C7*0.0678</f>
        <v>93952.561799999996</v>
      </c>
      <c r="L6" s="129"/>
      <c r="M6" s="129"/>
    </row>
    <row r="7" spans="1:14" ht="15" thickBot="1" x14ac:dyDescent="0.35">
      <c r="A7" s="111" t="s">
        <v>447</v>
      </c>
      <c r="C7" s="156">
        <f>SUM(C4:C6)</f>
        <v>1385731</v>
      </c>
      <c r="D7" s="118"/>
      <c r="E7" s="123"/>
      <c r="F7" s="123"/>
      <c r="G7" s="132" t="s">
        <v>447</v>
      </c>
      <c r="H7" s="133"/>
      <c r="I7" s="134">
        <f>SUM(I4:I6)</f>
        <v>1385731.0000000002</v>
      </c>
      <c r="L7" s="129"/>
      <c r="M7" s="129"/>
    </row>
    <row r="8" spans="1:14" ht="15" thickBot="1" x14ac:dyDescent="0.35">
      <c r="C8" s="156"/>
      <c r="D8" s="118"/>
      <c r="E8" s="123"/>
      <c r="F8" s="123"/>
      <c r="L8" s="129"/>
      <c r="M8" s="129"/>
    </row>
    <row r="9" spans="1:14" x14ac:dyDescent="0.3">
      <c r="A9" s="111" t="s">
        <v>596</v>
      </c>
      <c r="C9" s="156"/>
      <c r="D9" s="118"/>
      <c r="E9" s="123"/>
      <c r="F9" s="123"/>
      <c r="G9" s="119" t="s">
        <v>598</v>
      </c>
      <c r="H9" s="120"/>
      <c r="I9" s="121"/>
      <c r="L9" s="129"/>
      <c r="M9" s="129"/>
    </row>
    <row r="10" spans="1:14" ht="15" thickBot="1" x14ac:dyDescent="0.35">
      <c r="A10" s="111" t="s">
        <v>608</v>
      </c>
      <c r="B10" s="122" t="s">
        <v>600</v>
      </c>
      <c r="C10" s="158">
        <v>588000</v>
      </c>
      <c r="D10" s="127"/>
      <c r="E10" s="123" t="s">
        <v>609</v>
      </c>
      <c r="F10" s="123" t="s">
        <v>610</v>
      </c>
      <c r="G10" s="124" t="s">
        <v>608</v>
      </c>
      <c r="H10" s="125" t="s">
        <v>600</v>
      </c>
      <c r="I10" s="126">
        <f>C13*0.8363</f>
        <v>906281.58400000003</v>
      </c>
      <c r="L10" s="129"/>
      <c r="M10" s="129"/>
    </row>
    <row r="11" spans="1:14" ht="15" thickBot="1" x14ac:dyDescent="0.35">
      <c r="B11" s="122" t="s">
        <v>602</v>
      </c>
      <c r="C11" s="159">
        <v>297408</v>
      </c>
      <c r="D11" s="127" t="s">
        <v>597</v>
      </c>
      <c r="E11" s="123" t="s">
        <v>611</v>
      </c>
      <c r="F11" s="123"/>
      <c r="G11" s="124"/>
      <c r="H11" s="125" t="s">
        <v>602</v>
      </c>
      <c r="I11" s="126">
        <f>C13*0.0959</f>
        <v>103924.912</v>
      </c>
      <c r="K11" s="135">
        <f>I11</f>
        <v>103924.912</v>
      </c>
      <c r="L11" s="129"/>
      <c r="M11" s="136"/>
    </row>
    <row r="12" spans="1:14" x14ac:dyDescent="0.3">
      <c r="B12" s="122" t="s">
        <v>606</v>
      </c>
      <c r="C12" s="158">
        <v>198272</v>
      </c>
      <c r="D12" s="127"/>
      <c r="E12" s="123" t="s">
        <v>612</v>
      </c>
      <c r="F12" s="123"/>
      <c r="G12" s="124"/>
      <c r="H12" s="125" t="s">
        <v>606</v>
      </c>
      <c r="I12" s="126">
        <f>C13*0.0678</f>
        <v>73473.504000000001</v>
      </c>
      <c r="L12" s="129"/>
      <c r="M12" s="129"/>
    </row>
    <row r="13" spans="1:14" ht="15" thickBot="1" x14ac:dyDescent="0.35">
      <c r="A13" s="111" t="s">
        <v>447</v>
      </c>
      <c r="C13" s="156">
        <f>SUM(C10:C12)</f>
        <v>1083680</v>
      </c>
      <c r="D13" s="127"/>
      <c r="E13" s="123"/>
      <c r="F13" s="123"/>
      <c r="G13" s="132" t="s">
        <v>447</v>
      </c>
      <c r="H13" s="133"/>
      <c r="I13" s="134">
        <f>SUM(I10:I12)</f>
        <v>1083680</v>
      </c>
      <c r="L13" s="129"/>
      <c r="M13" s="129"/>
    </row>
    <row r="14" spans="1:14" ht="15" thickBot="1" x14ac:dyDescent="0.35">
      <c r="C14" s="156"/>
      <c r="D14" s="127"/>
      <c r="E14" s="123"/>
      <c r="F14" s="123"/>
      <c r="L14" s="129"/>
      <c r="M14" s="129"/>
    </row>
    <row r="15" spans="1:14" ht="15" thickBot="1" x14ac:dyDescent="0.35">
      <c r="A15" s="111" t="s">
        <v>613</v>
      </c>
      <c r="B15" s="122" t="s">
        <v>600</v>
      </c>
      <c r="C15" s="158">
        <v>127180</v>
      </c>
      <c r="D15" s="127"/>
      <c r="E15" s="123" t="s">
        <v>614</v>
      </c>
      <c r="F15" s="123"/>
      <c r="G15" s="137" t="s">
        <v>613</v>
      </c>
      <c r="H15" s="138" t="s">
        <v>600</v>
      </c>
      <c r="I15" s="139">
        <f>C18*0.8363</f>
        <v>145329.70510000002</v>
      </c>
      <c r="L15" s="129"/>
      <c r="M15" s="129"/>
    </row>
    <row r="16" spans="1:14" ht="15" thickBot="1" x14ac:dyDescent="0.35">
      <c r="B16" s="122" t="s">
        <v>602</v>
      </c>
      <c r="C16" s="159">
        <v>27957</v>
      </c>
      <c r="D16" s="127" t="s">
        <v>597</v>
      </c>
      <c r="E16" s="123" t="s">
        <v>615</v>
      </c>
      <c r="F16" s="123"/>
      <c r="G16" s="124"/>
      <c r="H16" s="125" t="s">
        <v>602</v>
      </c>
      <c r="I16" s="126">
        <f>C18*0.0959</f>
        <v>16665.2143</v>
      </c>
      <c r="K16" s="135">
        <f>I16</f>
        <v>16665.2143</v>
      </c>
      <c r="L16" s="129"/>
      <c r="M16" s="136"/>
    </row>
    <row r="17" spans="1:16" x14ac:dyDescent="0.3">
      <c r="B17" s="122" t="s">
        <v>606</v>
      </c>
      <c r="C17" s="158">
        <v>18640</v>
      </c>
      <c r="D17" s="127"/>
      <c r="E17" s="123" t="s">
        <v>616</v>
      </c>
      <c r="F17" s="123"/>
      <c r="G17" s="124"/>
      <c r="H17" s="125" t="s">
        <v>606</v>
      </c>
      <c r="I17" s="126">
        <f>C18*0.0678</f>
        <v>11782.080599999999</v>
      </c>
      <c r="L17" s="129"/>
      <c r="M17" s="129"/>
    </row>
    <row r="18" spans="1:16" ht="15" thickBot="1" x14ac:dyDescent="0.35">
      <c r="A18" s="111" t="s">
        <v>447</v>
      </c>
      <c r="C18" s="156">
        <f>SUM(C15:C17)</f>
        <v>173777</v>
      </c>
      <c r="D18" s="127"/>
      <c r="E18" s="123"/>
      <c r="F18" s="123"/>
      <c r="G18" s="132" t="s">
        <v>447</v>
      </c>
      <c r="H18" s="133"/>
      <c r="I18" s="134">
        <f>SUM(I15:I17)</f>
        <v>173777</v>
      </c>
      <c r="L18" s="129"/>
      <c r="M18" s="129"/>
    </row>
    <row r="19" spans="1:16" ht="15" thickBot="1" x14ac:dyDescent="0.35">
      <c r="C19" s="156"/>
      <c r="D19" s="127"/>
      <c r="E19" s="123"/>
      <c r="F19" s="123"/>
      <c r="L19" s="129"/>
      <c r="M19" s="129"/>
    </row>
    <row r="20" spans="1:16" ht="15" thickBot="1" x14ac:dyDescent="0.35">
      <c r="A20" s="111" t="s">
        <v>617</v>
      </c>
      <c r="B20" s="122" t="s">
        <v>600</v>
      </c>
      <c r="C20" s="158">
        <v>201274</v>
      </c>
      <c r="D20" s="127"/>
      <c r="E20" s="123" t="s">
        <v>618</v>
      </c>
      <c r="F20" s="123"/>
      <c r="G20" s="137" t="s">
        <v>617</v>
      </c>
      <c r="H20" s="138" t="s">
        <v>600</v>
      </c>
      <c r="I20" s="139">
        <f>C23*0.8363</f>
        <v>246867.39700000003</v>
      </c>
      <c r="L20" s="129"/>
      <c r="M20" s="129"/>
    </row>
    <row r="21" spans="1:16" ht="15" thickBot="1" x14ac:dyDescent="0.35">
      <c r="B21" s="122" t="s">
        <v>602</v>
      </c>
      <c r="C21" s="159">
        <v>46958</v>
      </c>
      <c r="D21" s="127" t="s">
        <v>597</v>
      </c>
      <c r="E21" s="123" t="s">
        <v>619</v>
      </c>
      <c r="F21" s="123"/>
      <c r="G21" s="124"/>
      <c r="H21" s="125" t="s">
        <v>602</v>
      </c>
      <c r="I21" s="126">
        <f>C23*0.0959</f>
        <v>28308.721000000001</v>
      </c>
      <c r="K21" s="135">
        <f>I21</f>
        <v>28308.721000000001</v>
      </c>
      <c r="L21" s="129"/>
      <c r="M21" s="136"/>
    </row>
    <row r="22" spans="1:16" x14ac:dyDescent="0.3">
      <c r="B22" s="122" t="s">
        <v>606</v>
      </c>
      <c r="C22" s="158">
        <v>46958</v>
      </c>
      <c r="D22" s="127"/>
      <c r="E22" s="123" t="s">
        <v>620</v>
      </c>
      <c r="F22" s="123"/>
      <c r="G22" s="124"/>
      <c r="H22" s="125" t="s">
        <v>606</v>
      </c>
      <c r="I22" s="126">
        <f>C23*0.0678</f>
        <v>20013.882000000001</v>
      </c>
      <c r="L22" s="129"/>
      <c r="M22" s="129"/>
    </row>
    <row r="23" spans="1:16" ht="15" thickBot="1" x14ac:dyDescent="0.35">
      <c r="A23" s="111" t="s">
        <v>447</v>
      </c>
      <c r="C23" s="156">
        <f>SUM(C20:C22)</f>
        <v>295190</v>
      </c>
      <c r="D23" s="118"/>
      <c r="E23" s="123"/>
      <c r="F23" s="123"/>
      <c r="G23" s="132" t="s">
        <v>447</v>
      </c>
      <c r="H23" s="133"/>
      <c r="I23" s="134">
        <f>SUM(I20:I22)</f>
        <v>295190</v>
      </c>
    </row>
    <row r="24" spans="1:16" x14ac:dyDescent="0.3">
      <c r="C24" s="156"/>
    </row>
    <row r="25" spans="1:16" x14ac:dyDescent="0.3">
      <c r="C25" s="143"/>
    </row>
    <row r="27" spans="1:16" x14ac:dyDescent="0.3">
      <c r="O27" s="161" t="s">
        <v>621</v>
      </c>
    </row>
    <row r="28" spans="1:16" x14ac:dyDescent="0.3">
      <c r="O28" s="140">
        <f>C31</f>
        <v>401668</v>
      </c>
      <c r="P28" s="117" t="s">
        <v>622</v>
      </c>
    </row>
    <row r="29" spans="1:16" x14ac:dyDescent="0.3">
      <c r="C29" s="143">
        <f>C21+C16+C11</f>
        <v>372323</v>
      </c>
      <c r="K29" s="135">
        <f>K11+K16+K21</f>
        <v>148898.84729999999</v>
      </c>
      <c r="M29" s="141">
        <f>C29-K29</f>
        <v>223424.15270000001</v>
      </c>
      <c r="N29" s="131" t="s">
        <v>623</v>
      </c>
      <c r="O29" s="142">
        <f>-M29</f>
        <v>-223424.15270000001</v>
      </c>
    </row>
    <row r="30" spans="1:16" x14ac:dyDescent="0.3">
      <c r="B30" s="111" t="s">
        <v>624</v>
      </c>
      <c r="C30" s="143">
        <f>C31-C29</f>
        <v>29345</v>
      </c>
      <c r="D30" s="143" t="s">
        <v>625</v>
      </c>
      <c r="O30" s="140"/>
    </row>
    <row r="31" spans="1:16" x14ac:dyDescent="0.3">
      <c r="B31" s="111" t="s">
        <v>447</v>
      </c>
      <c r="C31" s="160">
        <v>401668</v>
      </c>
      <c r="D31" s="117"/>
      <c r="E31" s="117"/>
      <c r="F31" s="117"/>
      <c r="O31" s="140"/>
    </row>
    <row r="32" spans="1:16" ht="15" thickBot="1" x14ac:dyDescent="0.35">
      <c r="J32" s="111" t="s">
        <v>626</v>
      </c>
      <c r="M32" s="144">
        <f>SUM(M5:M31)</f>
        <v>356315.75560000003</v>
      </c>
      <c r="N32" s="131" t="s">
        <v>627</v>
      </c>
      <c r="O32" s="145">
        <f>SUM(O28:O31)</f>
        <v>178243.84729999999</v>
      </c>
      <c r="P32" s="129" t="s">
        <v>604</v>
      </c>
    </row>
    <row r="33" spans="1:6" ht="15" thickTop="1" x14ac:dyDescent="0.3">
      <c r="A33" s="117"/>
    </row>
    <row r="40" spans="1:6" x14ac:dyDescent="0.3">
      <c r="D40" s="117"/>
      <c r="E40" s="117"/>
      <c r="F40" s="117"/>
    </row>
  </sheetData>
  <pageMargins left="0.2" right="0.2" top="0.5" bottom="0.5" header="0.3" footer="0.3"/>
  <pageSetup scale="63" orientation="landscape"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0BE1458-3724-454A-BBEB-B02830D58F2A}"/>
</file>

<file path=customXml/itemProps2.xml><?xml version="1.0" encoding="utf-8"?>
<ds:datastoreItem xmlns:ds="http://schemas.openxmlformats.org/officeDocument/2006/customXml" ds:itemID="{0F88EB7D-CA19-4985-B65D-7AC1D6AC0FE2}"/>
</file>

<file path=customXml/itemProps3.xml><?xml version="1.0" encoding="utf-8"?>
<ds:datastoreItem xmlns:ds="http://schemas.openxmlformats.org/officeDocument/2006/customXml" ds:itemID="{6FCC4C56-871C-4B83-A4D3-7DA55F9B27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Table 1</vt:lpstr>
      <vt:lpstr>CWUDFsStorage</vt:lpstr>
      <vt:lpstr>Table 2</vt:lpstr>
      <vt:lpstr>Table 3</vt:lpstr>
      <vt:lpstr>Table 4</vt:lpstr>
      <vt:lpstr>BT Summary - 10-72 Wages</vt:lpstr>
      <vt:lpstr>BT Allocation - 10-72 Wages</vt:lpstr>
      <vt:lpstr>Covid Exp 2022 Backup Reclass</vt:lpstr>
      <vt:lpstr>Utilities and RE Taxes Reclass</vt:lpstr>
      <vt:lpstr>Interest and Amortization Recla</vt:lpstr>
      <vt:lpstr>Professional Fees Reclass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Pattillo, Chelsea</dc:creator>
  <cp:lastModifiedBy>Fallon, Deandra M.</cp:lastModifiedBy>
  <dcterms:created xsi:type="dcterms:W3CDTF">2023-09-08T18:49:11Z</dcterms:created>
  <dcterms:modified xsi:type="dcterms:W3CDTF">2023-09-20T18:12:37Z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0x010100BA7879BB3EB3E841817F962675E65027</vt:lpwstr>
  </property>
</Properties>
</file>