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11-Pointe Group Care HO MH 123122\Files to Upload\"/>
    </mc:Choice>
  </mc:AlternateContent>
  <xr:revisionPtr revIDLastSave="0" documentId="13_ncr:1_{7177E106-DF45-40F4-A379-D7315DDC35B9}" xr6:coauthVersionLast="47" xr6:coauthVersionMax="47" xr10:uidLastSave="{00000000-0000-0000-0000-000000000000}"/>
  <bookViews>
    <workbookView xWindow="-100" yWindow="-100" windowWidth="21467" windowHeight="11576" activeTab="2" xr2:uid="{7873F796-5E66-4270-A597-68714F49F7C2}"/>
  </bookViews>
  <sheets>
    <sheet name="Acctg Svcs" sheetId="5" r:id="rId1"/>
    <sheet name="Equipment" sheetId="2" r:id="rId2"/>
    <sheet name="Alloc %" sheetId="3" r:id="rId3"/>
    <sheet name="Alloc Tax Ben" sheetId="4" r:id="rId4"/>
    <sheet name="Reconciliation" sheetId="6" r:id="rId5"/>
  </sheets>
  <definedNames>
    <definedName name="DONAllow">'Alloc %'!$C$21</definedName>
    <definedName name="VarAllow">'Alloc %'!$C$22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6" l="1"/>
  <c r="E10" i="6"/>
  <c r="D7" i="6"/>
  <c r="D6" i="6"/>
  <c r="D5" i="6"/>
  <c r="E12" i="6" s="1"/>
  <c r="J9" i="6" s="1"/>
  <c r="E27" i="3"/>
  <c r="C27" i="3"/>
  <c r="C24" i="3"/>
  <c r="E18" i="3"/>
  <c r="C18" i="3"/>
  <c r="D17" i="3" s="1"/>
  <c r="D10" i="3"/>
  <c r="G10" i="3" s="1"/>
  <c r="D7" i="3"/>
  <c r="G7" i="3" s="1"/>
  <c r="G26" i="2"/>
  <c r="E26" i="2" s="1"/>
  <c r="E17" i="2"/>
  <c r="E19" i="2" s="1"/>
  <c r="E11" i="2"/>
  <c r="G25" i="2" s="1"/>
  <c r="E25" i="2" s="1"/>
  <c r="H17" i="3" l="1"/>
  <c r="J17" i="3"/>
  <c r="F9" i="3"/>
  <c r="F15" i="3"/>
  <c r="F14" i="3"/>
  <c r="F8" i="3"/>
  <c r="D16" i="3"/>
  <c r="H16" i="3" s="1"/>
  <c r="H27" i="3" s="1"/>
  <c r="D11" i="3"/>
  <c r="D8" i="3"/>
  <c r="G8" i="3" s="1"/>
  <c r="D6" i="3"/>
  <c r="F7" i="3"/>
  <c r="F10" i="3"/>
  <c r="J7" i="3"/>
  <c r="D9" i="3"/>
  <c r="D14" i="3"/>
  <c r="D15" i="3"/>
  <c r="D13" i="3"/>
  <c r="F11" i="3"/>
  <c r="D12" i="3"/>
  <c r="F17" i="3"/>
  <c r="J11" i="6"/>
  <c r="J16" i="6" s="1"/>
  <c r="D8" i="4"/>
  <c r="E8" i="4" s="1"/>
  <c r="H10" i="3"/>
  <c r="K10" i="3" s="1"/>
  <c r="E12" i="2"/>
  <c r="E14" i="2" s="1"/>
  <c r="F16" i="3"/>
  <c r="F27" i="3" s="1"/>
  <c r="G17" i="3"/>
  <c r="I10" i="3"/>
  <c r="F6" i="3"/>
  <c r="H8" i="3"/>
  <c r="K8" i="3" s="1"/>
  <c r="J10" i="3"/>
  <c r="H7" i="3"/>
  <c r="I8" i="3"/>
  <c r="F13" i="3"/>
  <c r="I9" i="3"/>
  <c r="I7" i="3"/>
  <c r="J8" i="3"/>
  <c r="F12" i="3"/>
  <c r="I17" i="3"/>
  <c r="C10" i="4"/>
  <c r="D9" i="4" s="1"/>
  <c r="E9" i="4" s="1"/>
  <c r="H12" i="3"/>
  <c r="I13" i="3"/>
  <c r="J11" i="3" l="1"/>
  <c r="I11" i="3"/>
  <c r="H11" i="3"/>
  <c r="G11" i="3"/>
  <c r="I14" i="3"/>
  <c r="G14" i="3"/>
  <c r="J14" i="3"/>
  <c r="H14" i="3"/>
  <c r="G16" i="3"/>
  <c r="H9" i="3"/>
  <c r="G9" i="3"/>
  <c r="K9" i="3" s="1"/>
  <c r="I27" i="3"/>
  <c r="J9" i="3"/>
  <c r="D18" i="3"/>
  <c r="G12" i="3"/>
  <c r="K12" i="3" s="1"/>
  <c r="I12" i="3"/>
  <c r="J12" i="3"/>
  <c r="J15" i="3"/>
  <c r="I15" i="3"/>
  <c r="H15" i="3"/>
  <c r="G15" i="3"/>
  <c r="J16" i="3"/>
  <c r="J27" i="3" s="1"/>
  <c r="D27" i="3"/>
  <c r="I16" i="3"/>
  <c r="H6" i="3"/>
  <c r="H18" i="3" s="1"/>
  <c r="J6" i="3"/>
  <c r="J18" i="3" s="1"/>
  <c r="I6" i="3"/>
  <c r="I18" i="3" s="1"/>
  <c r="G6" i="3"/>
  <c r="G13" i="3"/>
  <c r="K13" i="3" s="1"/>
  <c r="J13" i="3"/>
  <c r="H13" i="3"/>
  <c r="G18" i="3"/>
  <c r="K16" i="3"/>
  <c r="G27" i="3"/>
  <c r="K27" i="3" s="1"/>
  <c r="K7" i="3"/>
  <c r="K17" i="3"/>
  <c r="K6" i="3" l="1"/>
  <c r="K14" i="3"/>
  <c r="K11" i="3"/>
  <c r="K15" i="3"/>
  <c r="K18" i="3"/>
</calcChain>
</file>

<file path=xl/sharedStrings.xml><?xml version="1.0" encoding="utf-8"?>
<sst xmlns="http://schemas.openxmlformats.org/spreadsheetml/2006/main" count="99" uniqueCount="87">
  <si>
    <t>Pointe Group Care</t>
  </si>
  <si>
    <t>Allowable Depreciation &amp; Asset Schedule</t>
  </si>
  <si>
    <t>1/1/22 - 12/31/22</t>
  </si>
  <si>
    <t>Allowable Depreciation:</t>
  </si>
  <si>
    <t>1651.1</t>
  </si>
  <si>
    <t>163000.002</t>
  </si>
  <si>
    <t xml:space="preserve">    Furniture, Fixture &amp; Equipment</t>
  </si>
  <si>
    <t>164000.002</t>
  </si>
  <si>
    <t xml:space="preserve">    Computer Hardware</t>
  </si>
  <si>
    <t>166000.002</t>
  </si>
  <si>
    <t xml:space="preserve">    Other Assets</t>
  </si>
  <si>
    <t>Total</t>
  </si>
  <si>
    <t>Allowable Depreciation</t>
  </si>
  <si>
    <t>9388.8</t>
  </si>
  <si>
    <t>Reported Depreciation</t>
  </si>
  <si>
    <t>Unallowable</t>
  </si>
  <si>
    <t>1710.1</t>
  </si>
  <si>
    <t>165000.002</t>
  </si>
  <si>
    <t xml:space="preserve">    Computer Software</t>
  </si>
  <si>
    <t>Allowable Depreication</t>
  </si>
  <si>
    <t>9390.8</t>
  </si>
  <si>
    <t>627000.002</t>
  </si>
  <si>
    <t xml:space="preserve">    Amort - Computer Software</t>
  </si>
  <si>
    <t>Fixed Assets</t>
  </si>
  <si>
    <t>Line</t>
  </si>
  <si>
    <t>Account</t>
  </si>
  <si>
    <t>Description</t>
  </si>
  <si>
    <t>Allowable Begin Yr</t>
  </si>
  <si>
    <t>Additions</t>
  </si>
  <si>
    <t>Deletions</t>
  </si>
  <si>
    <t>Allowable End Yr</t>
  </si>
  <si>
    <t>Equipment</t>
  </si>
  <si>
    <t>Software</t>
  </si>
  <si>
    <t>Facility Allocations</t>
  </si>
  <si>
    <t>Facility Name</t>
  </si>
  <si>
    <t>In-House Patient Days</t>
  </si>
  <si>
    <t>% Alloc</t>
  </si>
  <si>
    <t># Beds</t>
  </si>
  <si>
    <t>A&amp;G Alloc</t>
  </si>
  <si>
    <t>DON Alloc</t>
  </si>
  <si>
    <t>Variable Alloc</t>
  </si>
  <si>
    <t xml:space="preserve"> Fixed Exp Alloc</t>
  </si>
  <si>
    <t>Eastpointe Rehab Center</t>
  </si>
  <si>
    <t>Baypointe Rehab Center</t>
  </si>
  <si>
    <t>Southpointe Rehab Center</t>
  </si>
  <si>
    <t>Advinia Rehab Center (Seashore Pointe)</t>
  </si>
  <si>
    <t>Wilmington Rehab Center</t>
  </si>
  <si>
    <t>Pleasant Bay of Brewster Rehab Center</t>
  </si>
  <si>
    <t>Salem Rehabilitation Center LLC</t>
  </si>
  <si>
    <t>Northbridge Rehab Center</t>
  </si>
  <si>
    <t>Non- MA</t>
  </si>
  <si>
    <t>Venice Rehab Center</t>
  </si>
  <si>
    <t>Naples Rehab Center</t>
  </si>
  <si>
    <t>Total Sch 2 A&amp;G Allowable</t>
  </si>
  <si>
    <t>Total Sch 2 DON</t>
  </si>
  <si>
    <t>Total Sch 2 Variable</t>
  </si>
  <si>
    <t>Total Sch 2 Fixed Allowable</t>
  </si>
  <si>
    <t>Total Non-MA</t>
  </si>
  <si>
    <t>Non-Mass Facilities</t>
  </si>
  <si>
    <t>Tax &amp; Benefit Allocations</t>
  </si>
  <si>
    <t>9378.3</t>
  </si>
  <si>
    <t>Total Taxes &amp; Benefits</t>
  </si>
  <si>
    <t>Tax/Ben Alloc</t>
  </si>
  <si>
    <t>9312.1</t>
  </si>
  <si>
    <t>Administrative Salaries</t>
  </si>
  <si>
    <t>9323.3</t>
  </si>
  <si>
    <t>DON Salaries</t>
  </si>
  <si>
    <t>Accounting services performed: tax return and cost report preparation</t>
  </si>
  <si>
    <t>Distribution &amp; Equity Reconciliation</t>
  </si>
  <si>
    <t>CY</t>
  </si>
  <si>
    <t>PY</t>
  </si>
  <si>
    <t xml:space="preserve">Ben Berkowitz </t>
  </si>
  <si>
    <t xml:space="preserve">Opening Balance per PY cost report </t>
  </si>
  <si>
    <t xml:space="preserve">David Berkowitz </t>
  </si>
  <si>
    <t xml:space="preserve">Yosef Meystel </t>
  </si>
  <si>
    <t>Net Income - 2021</t>
  </si>
  <si>
    <t>Retained Earnings</t>
  </si>
  <si>
    <t xml:space="preserve">Drawings </t>
  </si>
  <si>
    <t>Total Retained Earnings</t>
  </si>
  <si>
    <t>Total PY Distributions</t>
  </si>
  <si>
    <t>Ending Balance</t>
  </si>
  <si>
    <t>Current Year Drawings</t>
  </si>
  <si>
    <t xml:space="preserve">equity PER TB </t>
  </si>
  <si>
    <t>AdviniaCare Newton Wellesley, LLC</t>
  </si>
  <si>
    <t>AdviniaCare Newburyport, LLC</t>
  </si>
  <si>
    <t>*</t>
  </si>
  <si>
    <t>*Some numbers rounded up or down for data consistency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</si>
</sst>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44" fontId="3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3" applyFont="1"/>
    <xf numFmtId="0" fontId="3" fillId="0" borderId="0" xfId="3"/>
    <xf numFmtId="43" fontId="0" fillId="0" borderId="0" xfId="4" applyFont="1"/>
    <xf numFmtId="164" fontId="0" fillId="0" borderId="0" xfId="4" applyNumberFormat="1" applyFont="1"/>
    <xf numFmtId="0" fontId="5" fillId="0" borderId="0" xfId="3" applyFont="1"/>
    <xf numFmtId="49" fontId="6" fillId="0" borderId="0" xfId="3" applyNumberFormat="1" applyFont="1"/>
    <xf numFmtId="49" fontId="6" fillId="0" borderId="0" xfId="3" quotePrefix="1" applyNumberFormat="1" applyFont="1"/>
    <xf numFmtId="43" fontId="6" fillId="0" borderId="0" xfId="4" applyFont="1" applyFill="1" applyBorder="1" applyAlignment="1" applyProtection="1"/>
    <xf numFmtId="164" fontId="6" fillId="0" borderId="0" xfId="4" applyNumberFormat="1" applyFont="1" applyFill="1" applyBorder="1" applyAlignment="1" applyProtection="1"/>
    <xf numFmtId="164" fontId="6" fillId="0" borderId="1" xfId="4" applyNumberFormat="1" applyFont="1" applyFill="1" applyBorder="1" applyAlignment="1" applyProtection="1"/>
    <xf numFmtId="164" fontId="6" fillId="0" borderId="2" xfId="4" applyNumberFormat="1" applyFont="1" applyFill="1" applyBorder="1" applyAlignment="1" applyProtection="1"/>
    <xf numFmtId="164" fontId="7" fillId="0" borderId="0" xfId="4" applyNumberFormat="1" applyFont="1" applyFill="1" applyBorder="1" applyAlignment="1" applyProtection="1"/>
    <xf numFmtId="164" fontId="6" fillId="0" borderId="3" xfId="4" applyNumberFormat="1" applyFont="1" applyFill="1" applyBorder="1" applyAlignment="1" applyProtection="1"/>
    <xf numFmtId="8" fontId="6" fillId="0" borderId="0" xfId="3" applyNumberFormat="1" applyFont="1"/>
    <xf numFmtId="0" fontId="3" fillId="0" borderId="0" xfId="3" applyAlignment="1">
      <alignment wrapText="1"/>
    </xf>
    <xf numFmtId="43" fontId="0" fillId="0" borderId="0" xfId="4" applyFont="1" applyAlignment="1">
      <alignment wrapText="1"/>
    </xf>
    <xf numFmtId="164" fontId="0" fillId="0" borderId="0" xfId="4" applyNumberFormat="1" applyFont="1" applyAlignment="1">
      <alignment wrapText="1"/>
    </xf>
    <xf numFmtId="10" fontId="0" fillId="0" borderId="0" xfId="5" applyNumberFormat="1" applyFont="1"/>
    <xf numFmtId="164" fontId="5" fillId="0" borderId="0" xfId="4" applyNumberFormat="1" applyFont="1" applyAlignment="1">
      <alignment wrapText="1"/>
    </xf>
    <xf numFmtId="10" fontId="5" fillId="0" borderId="0" xfId="5" applyNumberFormat="1" applyFont="1"/>
    <xf numFmtId="0" fontId="5" fillId="0" borderId="0" xfId="3" applyFont="1" applyAlignment="1">
      <alignment horizontal="right"/>
    </xf>
    <xf numFmtId="0" fontId="5" fillId="0" borderId="0" xfId="3" applyFont="1" applyAlignment="1">
      <alignment horizontal="right" wrapText="1"/>
    </xf>
    <xf numFmtId="164" fontId="0" fillId="0" borderId="0" xfId="4" applyNumberFormat="1" applyFont="1" applyBorder="1"/>
    <xf numFmtId="165" fontId="0" fillId="0" borderId="0" xfId="5" applyNumberFormat="1" applyFont="1"/>
    <xf numFmtId="164" fontId="4" fillId="0" borderId="0" xfId="3" applyNumberFormat="1" applyFont="1"/>
    <xf numFmtId="0" fontId="3" fillId="2" borderId="0" xfId="3" applyFill="1"/>
    <xf numFmtId="164" fontId="0" fillId="2" borderId="0" xfId="4" applyNumberFormat="1" applyFont="1" applyFill="1" applyBorder="1"/>
    <xf numFmtId="165" fontId="0" fillId="2" borderId="0" xfId="5" applyNumberFormat="1" applyFont="1" applyFill="1"/>
    <xf numFmtId="164" fontId="0" fillId="2" borderId="0" xfId="4" applyNumberFormat="1" applyFont="1" applyFill="1"/>
    <xf numFmtId="164" fontId="4" fillId="0" borderId="0" xfId="4" applyNumberFormat="1" applyFont="1"/>
    <xf numFmtId="165" fontId="7" fillId="0" borderId="0" xfId="5" applyNumberFormat="1" applyFont="1"/>
    <xf numFmtId="164" fontId="6" fillId="0" borderId="0" xfId="4" applyNumberFormat="1" applyFont="1" applyBorder="1"/>
    <xf numFmtId="164" fontId="7" fillId="0" borderId="0" xfId="4" applyNumberFormat="1" applyFont="1"/>
    <xf numFmtId="0" fontId="4" fillId="0" borderId="0" xfId="3" quotePrefix="1" applyFont="1"/>
    <xf numFmtId="0" fontId="2" fillId="0" borderId="0" xfId="0" applyFont="1"/>
    <xf numFmtId="164" fontId="2" fillId="0" borderId="0" xfId="1" applyNumberFormat="1" applyFont="1"/>
    <xf numFmtId="0" fontId="0" fillId="0" borderId="0" xfId="0" quotePrefix="1"/>
    <xf numFmtId="164" fontId="0" fillId="0" borderId="0" xfId="1" applyNumberFormat="1" applyFont="1"/>
    <xf numFmtId="10" fontId="0" fillId="0" borderId="0" xfId="2" applyNumberFormat="1" applyFont="1"/>
    <xf numFmtId="164" fontId="2" fillId="0" borderId="0" xfId="0" applyNumberFormat="1" applyFont="1"/>
    <xf numFmtId="0" fontId="8" fillId="3" borderId="0" xfId="6" applyFont="1" applyFill="1"/>
    <xf numFmtId="44" fontId="6" fillId="0" borderId="0" xfId="7" applyFont="1"/>
    <xf numFmtId="44" fontId="6" fillId="0" borderId="0" xfId="3" applyNumberFormat="1" applyFont="1"/>
    <xf numFmtId="44" fontId="3" fillId="0" borderId="0" xfId="3" applyNumberFormat="1"/>
    <xf numFmtId="44" fontId="8" fillId="3" borderId="0" xfId="8" applyFont="1" applyFill="1"/>
    <xf numFmtId="43" fontId="8" fillId="3" borderId="0" xfId="6" applyNumberFormat="1" applyFont="1" applyFill="1"/>
    <xf numFmtId="8" fontId="6" fillId="0" borderId="0" xfId="3" quotePrefix="1" applyNumberFormat="1" applyFont="1"/>
    <xf numFmtId="44" fontId="8" fillId="3" borderId="0" xfId="6" applyNumberFormat="1" applyFont="1" applyFill="1"/>
    <xf numFmtId="0" fontId="9" fillId="0" borderId="0" xfId="3" applyFont="1"/>
  </cellXfs>
  <cellStyles count="9">
    <cellStyle name="Comma" xfId="1" builtinId="3"/>
    <cellStyle name="Comma 2 2" xfId="4" xr:uid="{49F9B5DA-0756-4938-AC55-D5180ADF2977}"/>
    <cellStyle name="Currency 2" xfId="7" xr:uid="{859A3CFF-2C0A-45CB-8F5C-70ADD0BA5D0A}"/>
    <cellStyle name="Currency 3" xfId="8" xr:uid="{D83E0C9C-DE62-47AE-A334-ED15EB9D387F}"/>
    <cellStyle name="Normal" xfId="0" builtinId="0"/>
    <cellStyle name="Normal 2" xfId="6" xr:uid="{F0C14CB1-81E6-4D02-95AC-8447475D90F8}"/>
    <cellStyle name="Normal 2 2" xfId="3" xr:uid="{01FAF16B-9128-4D21-BF1D-4DF8E383968C}"/>
    <cellStyle name="Percent" xfId="2" builtinId="5"/>
    <cellStyle name="Percent 2" xfId="5" xr:uid="{5601C710-9074-467A-ADCA-920D86012C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38782-D52C-4C31-A200-388FF815DE85}">
  <dimension ref="A1"/>
  <sheetViews>
    <sheetView workbookViewId="0">
      <selection activeCell="I17" sqref="I17"/>
    </sheetView>
  </sheetViews>
  <sheetFormatPr defaultColWidth="8.8984375" defaultRowHeight="14.4" x14ac:dyDescent="0.3"/>
  <cols>
    <col min="1" max="16384" width="8.8984375" style="2"/>
  </cols>
  <sheetData>
    <row r="1" spans="1:1" x14ac:dyDescent="0.3">
      <c r="A1" s="2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47A9D-7C3E-4E01-94DB-44A8D5257EF0}">
  <dimension ref="A1:G26"/>
  <sheetViews>
    <sheetView topLeftCell="A6" workbookViewId="0">
      <selection activeCell="D26" sqref="D26"/>
    </sheetView>
  </sheetViews>
  <sheetFormatPr defaultColWidth="8.8984375" defaultRowHeight="14.4" x14ac:dyDescent="0.3"/>
  <cols>
    <col min="1" max="1" width="8.8984375" style="2"/>
    <col min="2" max="2" width="10.59765625" style="2" bestFit="1" customWidth="1"/>
    <col min="3" max="3" width="33.19921875" style="2" bestFit="1" customWidth="1"/>
    <col min="4" max="4" width="10.09765625" style="3" bestFit="1" customWidth="1"/>
    <col min="5" max="5" width="11.09765625" style="4" bestFit="1" customWidth="1"/>
    <col min="6" max="16384" width="8.8984375" style="2"/>
  </cols>
  <sheetData>
    <row r="1" spans="1:5" x14ac:dyDescent="0.3">
      <c r="A1" s="1" t="s">
        <v>0</v>
      </c>
    </row>
    <row r="2" spans="1:5" x14ac:dyDescent="0.3">
      <c r="A2" s="1" t="s">
        <v>1</v>
      </c>
    </row>
    <row r="3" spans="1:5" x14ac:dyDescent="0.3">
      <c r="A3" s="1" t="s">
        <v>2</v>
      </c>
    </row>
    <row r="6" spans="1:5" x14ac:dyDescent="0.3">
      <c r="A6" s="5" t="s">
        <v>3</v>
      </c>
      <c r="B6" s="5"/>
    </row>
    <row r="8" spans="1:5" x14ac:dyDescent="0.3">
      <c r="A8" s="6" t="s">
        <v>4</v>
      </c>
      <c r="B8" s="7" t="s">
        <v>5</v>
      </c>
      <c r="C8" s="7" t="s">
        <v>6</v>
      </c>
      <c r="D8" s="8"/>
      <c r="E8" s="9">
        <v>178726.05</v>
      </c>
    </row>
    <row r="9" spans="1:5" x14ac:dyDescent="0.3">
      <c r="A9" s="6" t="s">
        <v>4</v>
      </c>
      <c r="B9" s="7" t="s">
        <v>7</v>
      </c>
      <c r="C9" s="7" t="s">
        <v>8</v>
      </c>
      <c r="D9" s="8"/>
      <c r="E9" s="9">
        <v>86280.9</v>
      </c>
    </row>
    <row r="10" spans="1:5" x14ac:dyDescent="0.3">
      <c r="A10" s="6" t="s">
        <v>4</v>
      </c>
      <c r="B10" s="7" t="s">
        <v>9</v>
      </c>
      <c r="C10" s="7" t="s">
        <v>10</v>
      </c>
      <c r="D10" s="8"/>
      <c r="E10" s="9">
        <v>3300</v>
      </c>
    </row>
    <row r="11" spans="1:5" x14ac:dyDescent="0.3">
      <c r="A11" s="6"/>
      <c r="B11" s="7"/>
      <c r="C11" s="7" t="s">
        <v>11</v>
      </c>
      <c r="D11" s="8"/>
      <c r="E11" s="10">
        <f>SUM(E8:E10)</f>
        <v>268306.94999999995</v>
      </c>
    </row>
    <row r="12" spans="1:5" x14ac:dyDescent="0.3">
      <c r="A12" s="6"/>
      <c r="B12" s="7"/>
      <c r="C12" s="7" t="s">
        <v>12</v>
      </c>
      <c r="D12" s="8"/>
      <c r="E12" s="9">
        <f>E11*0.1</f>
        <v>26830.694999999996</v>
      </c>
    </row>
    <row r="13" spans="1:5" x14ac:dyDescent="0.3">
      <c r="A13" s="6" t="s">
        <v>13</v>
      </c>
      <c r="B13" s="7"/>
      <c r="C13" s="7" t="s">
        <v>14</v>
      </c>
      <c r="D13" s="8"/>
      <c r="E13" s="11">
        <v>28561</v>
      </c>
    </row>
    <row r="14" spans="1:5" x14ac:dyDescent="0.3">
      <c r="A14" s="6"/>
      <c r="B14" s="7"/>
      <c r="C14" s="7" t="s">
        <v>15</v>
      </c>
      <c r="D14" s="8"/>
      <c r="E14" s="9">
        <f>E13-E12</f>
        <v>1730.3050000000039</v>
      </c>
    </row>
    <row r="15" spans="1:5" x14ac:dyDescent="0.3">
      <c r="A15" s="6"/>
      <c r="B15" s="7"/>
      <c r="C15" s="7"/>
      <c r="D15" s="8"/>
      <c r="E15" s="12"/>
    </row>
    <row r="16" spans="1:5" x14ac:dyDescent="0.3">
      <c r="A16" s="6" t="s">
        <v>16</v>
      </c>
      <c r="B16" s="7" t="s">
        <v>17</v>
      </c>
      <c r="C16" s="7" t="s">
        <v>18</v>
      </c>
      <c r="D16" s="8"/>
      <c r="E16" s="9">
        <v>2725</v>
      </c>
    </row>
    <row r="17" spans="1:7" x14ac:dyDescent="0.3">
      <c r="A17" s="6"/>
      <c r="B17" s="7"/>
      <c r="C17" s="7" t="s">
        <v>19</v>
      </c>
      <c r="D17" s="8"/>
      <c r="E17" s="13">
        <f>E16*0.1</f>
        <v>272.5</v>
      </c>
    </row>
    <row r="18" spans="1:7" x14ac:dyDescent="0.3">
      <c r="A18" s="6" t="s">
        <v>20</v>
      </c>
      <c r="B18" s="7" t="s">
        <v>21</v>
      </c>
      <c r="C18" s="7" t="s">
        <v>22</v>
      </c>
      <c r="D18" s="14"/>
      <c r="E18" s="9">
        <v>202.38</v>
      </c>
    </row>
    <row r="19" spans="1:7" x14ac:dyDescent="0.3">
      <c r="C19" s="7" t="s">
        <v>15</v>
      </c>
      <c r="D19" s="8"/>
      <c r="E19" s="13">
        <f>E18-E17</f>
        <v>-70.12</v>
      </c>
    </row>
    <row r="22" spans="1:7" x14ac:dyDescent="0.3">
      <c r="A22" s="2" t="s">
        <v>23</v>
      </c>
    </row>
    <row r="24" spans="1:7" s="15" customFormat="1" ht="28.8" x14ac:dyDescent="0.3">
      <c r="A24" s="15" t="s">
        <v>24</v>
      </c>
      <c r="B24" s="15" t="s">
        <v>25</v>
      </c>
      <c r="C24" s="15" t="s">
        <v>26</v>
      </c>
      <c r="D24" s="16" t="s">
        <v>27</v>
      </c>
      <c r="E24" s="17" t="s">
        <v>28</v>
      </c>
      <c r="F24" s="15" t="s">
        <v>29</v>
      </c>
      <c r="G24" s="15" t="s">
        <v>30</v>
      </c>
    </row>
    <row r="25" spans="1:7" x14ac:dyDescent="0.3">
      <c r="A25" s="2">
        <v>1.6</v>
      </c>
      <c r="C25" s="2" t="s">
        <v>31</v>
      </c>
      <c r="D25" s="4">
        <v>84428.49</v>
      </c>
      <c r="E25" s="4">
        <f>G25-D25</f>
        <v>183878.45999999996</v>
      </c>
      <c r="F25" s="4"/>
      <c r="G25" s="4">
        <f>E11</f>
        <v>268306.94999999995</v>
      </c>
    </row>
    <row r="26" spans="1:7" x14ac:dyDescent="0.3">
      <c r="A26" s="2">
        <v>1.8</v>
      </c>
      <c r="C26" s="2" t="s">
        <v>32</v>
      </c>
      <c r="D26" s="4">
        <v>2725</v>
      </c>
      <c r="E26" s="4">
        <f>G26-D26</f>
        <v>0</v>
      </c>
      <c r="F26" s="4"/>
      <c r="G26" s="4">
        <f>E16</f>
        <v>2725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CF264-1802-4C44-ABBA-DCC5B752C636}">
  <dimension ref="A1:L29"/>
  <sheetViews>
    <sheetView tabSelected="1" topLeftCell="A14" workbookViewId="0">
      <selection activeCell="B29" sqref="B29"/>
    </sheetView>
  </sheetViews>
  <sheetFormatPr defaultColWidth="8.8984375" defaultRowHeight="14.4" x14ac:dyDescent="0.3"/>
  <cols>
    <col min="1" max="1" width="8.8984375" style="2"/>
    <col min="2" max="2" width="33.296875" style="2" bestFit="1" customWidth="1"/>
    <col min="3" max="3" width="12.19921875" style="4" customWidth="1"/>
    <col min="4" max="4" width="10.19921875" style="18" bestFit="1" customWidth="1"/>
    <col min="5" max="5" width="0" style="2" hidden="1" customWidth="1"/>
    <col min="6" max="6" width="11" style="2" hidden="1" customWidth="1"/>
    <col min="7" max="7" width="10.3984375" style="2" bestFit="1" customWidth="1"/>
    <col min="8" max="9" width="10.3984375" style="2" customWidth="1"/>
    <col min="10" max="10" width="13.3984375" style="2" bestFit="1" customWidth="1"/>
    <col min="11" max="11" width="10.09765625" style="2" bestFit="1" customWidth="1"/>
    <col min="12" max="16384" width="8.8984375" style="2"/>
  </cols>
  <sheetData>
    <row r="1" spans="1:12" x14ac:dyDescent="0.3">
      <c r="A1" s="1" t="s">
        <v>0</v>
      </c>
    </row>
    <row r="2" spans="1:12" x14ac:dyDescent="0.3">
      <c r="A2" s="1" t="s">
        <v>33</v>
      </c>
    </row>
    <row r="3" spans="1:12" x14ac:dyDescent="0.3">
      <c r="A3" s="1" t="s">
        <v>2</v>
      </c>
    </row>
    <row r="4" spans="1:12" x14ac:dyDescent="0.3">
      <c r="A4" s="1"/>
      <c r="G4" s="2">
        <v>9960.2999999999993</v>
      </c>
      <c r="J4" s="2">
        <v>9961.2999999999993</v>
      </c>
    </row>
    <row r="5" spans="1:12" s="5" customFormat="1" ht="28.8" x14ac:dyDescent="0.3">
      <c r="B5" s="5" t="s">
        <v>34</v>
      </c>
      <c r="C5" s="19" t="s">
        <v>35</v>
      </c>
      <c r="D5" s="20" t="s">
        <v>36</v>
      </c>
      <c r="E5" s="5" t="s">
        <v>37</v>
      </c>
      <c r="F5" s="20" t="s">
        <v>36</v>
      </c>
      <c r="G5" s="21" t="s">
        <v>38</v>
      </c>
      <c r="H5" s="21" t="s">
        <v>39</v>
      </c>
      <c r="I5" s="22" t="s">
        <v>40</v>
      </c>
      <c r="J5" s="22" t="s">
        <v>41</v>
      </c>
    </row>
    <row r="6" spans="1:12" x14ac:dyDescent="0.3">
      <c r="A6" s="1"/>
      <c r="B6" s="2" t="s">
        <v>42</v>
      </c>
      <c r="C6" s="23">
        <v>48330</v>
      </c>
      <c r="D6" s="24">
        <f t="shared" ref="D6:D13" si="0">C6/$C$18</f>
        <v>0.15571686787747566</v>
      </c>
      <c r="E6" s="2">
        <v>195</v>
      </c>
      <c r="F6" s="24">
        <f t="shared" ref="F6:F13" si="1">E6/$E$18</f>
        <v>0.22388059701492538</v>
      </c>
      <c r="G6" s="4">
        <f>ROUND(D6*$C$20,0)</f>
        <v>752000</v>
      </c>
      <c r="H6" s="4">
        <f t="shared" ref="H6:H17" si="2">ROUND(D6*DONAllow,0)</f>
        <v>21482</v>
      </c>
      <c r="I6" s="4">
        <f t="shared" ref="I6:I17" si="3">ROUND(VarAllow*D6,0)</f>
        <v>-30</v>
      </c>
      <c r="J6" s="4">
        <f t="shared" ref="J6:J13" si="4">ROUND($C$23*D6,0)</f>
        <v>34491</v>
      </c>
      <c r="K6" s="25">
        <f t="shared" ref="K6:K17" si="5">SUM(G6:J6)</f>
        <v>807943</v>
      </c>
      <c r="L6" s="2" t="s">
        <v>85</v>
      </c>
    </row>
    <row r="7" spans="1:12" x14ac:dyDescent="0.3">
      <c r="A7" s="1"/>
      <c r="B7" s="26" t="s">
        <v>43</v>
      </c>
      <c r="C7" s="27">
        <v>45749</v>
      </c>
      <c r="D7" s="28">
        <f t="shared" si="0"/>
        <v>0.14740101362562869</v>
      </c>
      <c r="E7" s="26">
        <v>169</v>
      </c>
      <c r="F7" s="28">
        <f t="shared" si="1"/>
        <v>0.19402985074626866</v>
      </c>
      <c r="G7" s="29">
        <f>ROUNDDOWN(D7*$C$20,0)</f>
        <v>711839</v>
      </c>
      <c r="H7" s="29">
        <f t="shared" si="2"/>
        <v>20335</v>
      </c>
      <c r="I7" s="29">
        <f t="shared" si="3"/>
        <v>-28</v>
      </c>
      <c r="J7" s="29">
        <f t="shared" si="4"/>
        <v>32649</v>
      </c>
      <c r="K7" s="25">
        <f t="shared" si="5"/>
        <v>764795</v>
      </c>
    </row>
    <row r="8" spans="1:12" x14ac:dyDescent="0.3">
      <c r="A8" s="1"/>
      <c r="B8" s="2" t="s">
        <v>44</v>
      </c>
      <c r="C8" s="23">
        <v>36100</v>
      </c>
      <c r="D8" s="24">
        <f t="shared" si="0"/>
        <v>0.11631241320870829</v>
      </c>
      <c r="E8" s="2">
        <v>152</v>
      </c>
      <c r="F8" s="24">
        <f t="shared" si="1"/>
        <v>0.17451205510907003</v>
      </c>
      <c r="G8" s="4">
        <f t="shared" ref="G8:G13" si="6">ROUND(D8*$C$20,0)</f>
        <v>561705</v>
      </c>
      <c r="H8" s="4">
        <f t="shared" si="2"/>
        <v>16046</v>
      </c>
      <c r="I8" s="4">
        <f t="shared" si="3"/>
        <v>-22</v>
      </c>
      <c r="J8" s="4">
        <f t="shared" si="4"/>
        <v>25763</v>
      </c>
      <c r="K8" s="25">
        <f t="shared" si="5"/>
        <v>603492</v>
      </c>
    </row>
    <row r="9" spans="1:12" x14ac:dyDescent="0.3">
      <c r="B9" s="26" t="s">
        <v>45</v>
      </c>
      <c r="C9" s="27">
        <v>13349</v>
      </c>
      <c r="D9" s="28">
        <f t="shared" si="0"/>
        <v>4.3009817283186896E-2</v>
      </c>
      <c r="E9" s="26">
        <v>41</v>
      </c>
      <c r="F9" s="28">
        <f t="shared" si="1"/>
        <v>4.7072330654420208E-2</v>
      </c>
      <c r="G9" s="29">
        <f t="shared" si="6"/>
        <v>207706</v>
      </c>
      <c r="H9" s="29">
        <f t="shared" si="2"/>
        <v>5934</v>
      </c>
      <c r="I9" s="29">
        <f t="shared" si="3"/>
        <v>-8</v>
      </c>
      <c r="J9" s="29">
        <f t="shared" si="4"/>
        <v>9526</v>
      </c>
      <c r="K9" s="25">
        <f t="shared" si="5"/>
        <v>223158</v>
      </c>
    </row>
    <row r="10" spans="1:12" x14ac:dyDescent="0.3">
      <c r="B10" s="2" t="s">
        <v>46</v>
      </c>
      <c r="C10" s="23">
        <v>34740</v>
      </c>
      <c r="D10" s="24">
        <f t="shared" si="0"/>
        <v>0.11193056052272925</v>
      </c>
      <c r="E10" s="2">
        <v>142</v>
      </c>
      <c r="F10" s="24">
        <f t="shared" si="1"/>
        <v>0.16303099885189437</v>
      </c>
      <c r="G10" s="4">
        <f t="shared" si="6"/>
        <v>540543</v>
      </c>
      <c r="H10" s="4">
        <f t="shared" si="2"/>
        <v>15442</v>
      </c>
      <c r="I10" s="4">
        <f t="shared" si="3"/>
        <v>-21</v>
      </c>
      <c r="J10" s="4">
        <f t="shared" si="4"/>
        <v>24792</v>
      </c>
      <c r="K10" s="25">
        <f t="shared" si="5"/>
        <v>580756</v>
      </c>
    </row>
    <row r="11" spans="1:12" x14ac:dyDescent="0.3">
      <c r="B11" s="26" t="s">
        <v>47</v>
      </c>
      <c r="C11" s="27">
        <v>37665</v>
      </c>
      <c r="D11" s="28">
        <f t="shared" si="0"/>
        <v>0.12135476574808858</v>
      </c>
      <c r="E11" s="26">
        <v>49</v>
      </c>
      <c r="F11" s="28">
        <f t="shared" si="1"/>
        <v>5.6257175660160738E-2</v>
      </c>
      <c r="G11" s="29">
        <f t="shared" si="6"/>
        <v>586056</v>
      </c>
      <c r="H11" s="29">
        <f t="shared" si="2"/>
        <v>16742</v>
      </c>
      <c r="I11" s="29">
        <f t="shared" si="3"/>
        <v>-23</v>
      </c>
      <c r="J11" s="29">
        <f t="shared" si="4"/>
        <v>26880</v>
      </c>
      <c r="K11" s="25">
        <f t="shared" si="5"/>
        <v>629655</v>
      </c>
    </row>
    <row r="12" spans="1:12" x14ac:dyDescent="0.3">
      <c r="B12" s="2" t="s">
        <v>48</v>
      </c>
      <c r="C12" s="23">
        <v>27436</v>
      </c>
      <c r="D12" s="24">
        <f t="shared" si="0"/>
        <v>8.83974340386183E-2</v>
      </c>
      <c r="E12" s="2">
        <v>123</v>
      </c>
      <c r="F12" s="24">
        <f t="shared" si="1"/>
        <v>0.14121699196326062</v>
      </c>
      <c r="G12" s="4">
        <f t="shared" si="6"/>
        <v>426895</v>
      </c>
      <c r="H12" s="4">
        <f t="shared" si="2"/>
        <v>12195</v>
      </c>
      <c r="I12" s="4">
        <f t="shared" si="3"/>
        <v>-17</v>
      </c>
      <c r="J12" s="4">
        <f t="shared" si="4"/>
        <v>19580</v>
      </c>
      <c r="K12" s="25">
        <f t="shared" si="5"/>
        <v>458653</v>
      </c>
    </row>
    <row r="13" spans="1:12" x14ac:dyDescent="0.3">
      <c r="B13" s="26" t="s">
        <v>49</v>
      </c>
      <c r="C13" s="27">
        <v>40425</v>
      </c>
      <c r="D13" s="28">
        <f t="shared" si="0"/>
        <v>0.13024734914022251</v>
      </c>
      <c r="E13" s="26">
        <v>124</v>
      </c>
      <c r="F13" s="28">
        <f t="shared" si="1"/>
        <v>0.1423650975889782</v>
      </c>
      <c r="G13" s="29">
        <f t="shared" si="6"/>
        <v>629000</v>
      </c>
      <c r="H13" s="29">
        <f t="shared" si="2"/>
        <v>17969</v>
      </c>
      <c r="I13" s="29">
        <f t="shared" si="3"/>
        <v>-25</v>
      </c>
      <c r="J13" s="29">
        <f t="shared" si="4"/>
        <v>28849</v>
      </c>
      <c r="K13" s="25">
        <f t="shared" si="5"/>
        <v>675793</v>
      </c>
    </row>
    <row r="14" spans="1:12" x14ac:dyDescent="0.3">
      <c r="B14" s="2" t="s">
        <v>83</v>
      </c>
      <c r="C14" s="23">
        <v>464</v>
      </c>
      <c r="D14" s="24">
        <f t="shared" ref="D14:D15" si="7">C14/$C$18</f>
        <v>1.4949850340399071E-3</v>
      </c>
      <c r="E14" s="2">
        <v>125</v>
      </c>
      <c r="F14" s="24">
        <f t="shared" ref="F14:F15" si="8">E14/$E$18</f>
        <v>0.14351320321469574</v>
      </c>
      <c r="G14" s="4">
        <f t="shared" ref="G14:G15" si="9">ROUND(D14*$C$20,0)</f>
        <v>7220</v>
      </c>
      <c r="H14" s="4">
        <f t="shared" ref="H14:H15" si="10">ROUND(D14*DONAllow,0)</f>
        <v>206</v>
      </c>
      <c r="I14" s="4">
        <f t="shared" ref="I14:I15" si="11">ROUND(VarAllow*D14,0)</f>
        <v>0</v>
      </c>
      <c r="J14" s="4">
        <f t="shared" ref="J14:J15" si="12">ROUND($C$23*D14,0)</f>
        <v>331</v>
      </c>
      <c r="K14" s="25">
        <f t="shared" si="5"/>
        <v>7757</v>
      </c>
    </row>
    <row r="15" spans="1:12" x14ac:dyDescent="0.3">
      <c r="B15" s="26" t="s">
        <v>84</v>
      </c>
      <c r="C15" s="27">
        <v>458</v>
      </c>
      <c r="D15" s="28">
        <f t="shared" si="7"/>
        <v>1.475653331013529E-3</v>
      </c>
      <c r="E15" s="26">
        <v>126</v>
      </c>
      <c r="F15" s="28">
        <f t="shared" si="8"/>
        <v>0.14466130884041331</v>
      </c>
      <c r="G15" s="29">
        <f t="shared" si="9"/>
        <v>7126</v>
      </c>
      <c r="H15" s="29">
        <f t="shared" si="10"/>
        <v>204</v>
      </c>
      <c r="I15" s="29">
        <f t="shared" si="11"/>
        <v>0</v>
      </c>
      <c r="J15" s="29">
        <f t="shared" si="12"/>
        <v>327</v>
      </c>
      <c r="K15" s="25">
        <f t="shared" si="5"/>
        <v>7657</v>
      </c>
    </row>
    <row r="16" spans="1:12" x14ac:dyDescent="0.3">
      <c r="A16" s="2" t="s">
        <v>50</v>
      </c>
      <c r="B16" s="2" t="s">
        <v>51</v>
      </c>
      <c r="C16" s="23">
        <v>12303</v>
      </c>
      <c r="D16" s="24">
        <f>C16/$C$18</f>
        <v>3.9639657055588313E-2</v>
      </c>
      <c r="E16" s="2">
        <v>125</v>
      </c>
      <c r="F16" s="24">
        <f>E16/$E$18</f>
        <v>0.14351320321469574</v>
      </c>
      <c r="G16" s="4">
        <f>ROUND(D16*$C$20,0)</f>
        <v>191431</v>
      </c>
      <c r="H16" s="4">
        <f t="shared" si="2"/>
        <v>5469</v>
      </c>
      <c r="I16" s="4">
        <f t="shared" si="3"/>
        <v>-8</v>
      </c>
      <c r="J16" s="4">
        <f>ROUND($C$23*D16,0)</f>
        <v>8780</v>
      </c>
      <c r="K16" s="25">
        <f t="shared" si="5"/>
        <v>205672</v>
      </c>
    </row>
    <row r="17" spans="1:11" x14ac:dyDescent="0.3">
      <c r="A17" s="2" t="s">
        <v>50</v>
      </c>
      <c r="B17" s="26" t="s">
        <v>52</v>
      </c>
      <c r="C17" s="27">
        <v>13352</v>
      </c>
      <c r="D17" s="28">
        <f>C17/$C$18</f>
        <v>4.3019483134700082E-2</v>
      </c>
      <c r="E17" s="26">
        <v>126</v>
      </c>
      <c r="F17" s="28">
        <f>E17/$E$18</f>
        <v>0.14466130884041331</v>
      </c>
      <c r="G17" s="29">
        <f>ROUND(D17*$C$20,0)</f>
        <v>207753</v>
      </c>
      <c r="H17" s="29">
        <f t="shared" si="2"/>
        <v>5935</v>
      </c>
      <c r="I17" s="29">
        <f t="shared" si="3"/>
        <v>-8</v>
      </c>
      <c r="J17" s="29">
        <f>ROUND($C$23*D17,0)</f>
        <v>9529</v>
      </c>
      <c r="K17" s="25">
        <f t="shared" si="5"/>
        <v>223209</v>
      </c>
    </row>
    <row r="18" spans="1:11" x14ac:dyDescent="0.3">
      <c r="C18" s="30">
        <f>SUM(C6:C17)</f>
        <v>310371</v>
      </c>
      <c r="D18" s="31">
        <f>SUM(D6:D17)</f>
        <v>1</v>
      </c>
      <c r="E18" s="30">
        <f>SUM(E6:E12)</f>
        <v>871</v>
      </c>
      <c r="G18" s="30">
        <f>SUM(G6:G17)</f>
        <v>4829274</v>
      </c>
      <c r="H18" s="30">
        <f>SUM(H6:H17)</f>
        <v>137959</v>
      </c>
      <c r="I18" s="30">
        <f>SUM(I6:I17)</f>
        <v>-190</v>
      </c>
      <c r="J18" s="30">
        <f>SUM(J6:J17)</f>
        <v>221497</v>
      </c>
      <c r="K18" s="30">
        <f>SUM(K6:K17)</f>
        <v>5188540</v>
      </c>
    </row>
    <row r="20" spans="1:11" x14ac:dyDescent="0.3">
      <c r="B20" s="2" t="s">
        <v>53</v>
      </c>
      <c r="C20" s="4">
        <v>4829274.74</v>
      </c>
    </row>
    <row r="21" spans="1:11" x14ac:dyDescent="0.3">
      <c r="B21" s="2" t="s">
        <v>54</v>
      </c>
      <c r="C21" s="4">
        <v>137957.99</v>
      </c>
    </row>
    <row r="22" spans="1:11" x14ac:dyDescent="0.3">
      <c r="B22" s="2" t="s">
        <v>55</v>
      </c>
      <c r="C22" s="4">
        <v>-191.65</v>
      </c>
    </row>
    <row r="23" spans="1:11" x14ac:dyDescent="0.3">
      <c r="B23" s="2" t="s">
        <v>56</v>
      </c>
      <c r="C23" s="4">
        <v>221495.47500000001</v>
      </c>
    </row>
    <row r="24" spans="1:11" s="18" customFormat="1" x14ac:dyDescent="0.3">
      <c r="A24" s="2"/>
      <c r="B24" s="2"/>
      <c r="C24" s="30">
        <f>SUM(C20:C23)</f>
        <v>5188536.5549999997</v>
      </c>
      <c r="E24" s="2"/>
      <c r="F24" s="2"/>
      <c r="G24" s="2"/>
      <c r="H24" s="2"/>
      <c r="I24" s="2"/>
      <c r="J24" s="2"/>
      <c r="K24" s="2"/>
    </row>
    <row r="26" spans="1:11" x14ac:dyDescent="0.3">
      <c r="A26" s="5" t="s">
        <v>57</v>
      </c>
    </row>
    <row r="27" spans="1:11" x14ac:dyDescent="0.3">
      <c r="B27" s="1" t="s">
        <v>58</v>
      </c>
      <c r="C27" s="32">
        <f>SUM(C16:C17)</f>
        <v>25655</v>
      </c>
      <c r="D27" s="31">
        <f>ROUNDDOWN(SUM(D16:D17),6)</f>
        <v>8.2658999999999996E-2</v>
      </c>
      <c r="E27" s="1">
        <f t="shared" ref="E27:J27" si="13">SUM(E16:E17)</f>
        <v>251</v>
      </c>
      <c r="F27" s="31">
        <f t="shared" si="13"/>
        <v>0.28817451205510902</v>
      </c>
      <c r="G27" s="33">
        <f t="shared" si="13"/>
        <v>399184</v>
      </c>
      <c r="H27" s="33">
        <f t="shared" si="13"/>
        <v>11404</v>
      </c>
      <c r="I27" s="33">
        <f t="shared" si="13"/>
        <v>-16</v>
      </c>
      <c r="J27" s="33">
        <f t="shared" si="13"/>
        <v>18309</v>
      </c>
      <c r="K27" s="25">
        <f>SUM(G27:J27)</f>
        <v>428881</v>
      </c>
    </row>
    <row r="29" spans="1:11" x14ac:dyDescent="0.3">
      <c r="B29" s="49" t="s">
        <v>86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BFE4F-F2DB-4616-BA07-89CFAED71E23}">
  <dimension ref="A1:E10"/>
  <sheetViews>
    <sheetView workbookViewId="0">
      <selection activeCell="C10" sqref="C10"/>
    </sheetView>
  </sheetViews>
  <sheetFormatPr defaultRowHeight="14.4" x14ac:dyDescent="0.3"/>
  <cols>
    <col min="2" max="2" width="20.296875" bestFit="1" customWidth="1"/>
    <col min="3" max="3" width="12.59765625" bestFit="1" customWidth="1"/>
    <col min="5" max="5" width="11.09765625" bestFit="1" customWidth="1"/>
  </cols>
  <sheetData>
    <row r="1" spans="1:5" x14ac:dyDescent="0.3">
      <c r="A1" s="1" t="s">
        <v>0</v>
      </c>
    </row>
    <row r="2" spans="1:5" x14ac:dyDescent="0.3">
      <c r="A2" s="1" t="s">
        <v>59</v>
      </c>
    </row>
    <row r="3" spans="1:5" x14ac:dyDescent="0.3">
      <c r="A3" s="1" t="s">
        <v>2</v>
      </c>
    </row>
    <row r="6" spans="1:5" x14ac:dyDescent="0.3">
      <c r="A6" s="34" t="s">
        <v>60</v>
      </c>
      <c r="B6" s="35" t="s">
        <v>61</v>
      </c>
      <c r="C6" s="36">
        <v>516989.81</v>
      </c>
    </row>
    <row r="7" spans="1:5" x14ac:dyDescent="0.3">
      <c r="E7" t="s">
        <v>62</v>
      </c>
    </row>
    <row r="8" spans="1:5" x14ac:dyDescent="0.3">
      <c r="A8" s="37" t="s">
        <v>63</v>
      </c>
      <c r="B8" t="s">
        <v>64</v>
      </c>
      <c r="C8" s="38">
        <v>3811491.66</v>
      </c>
      <c r="D8" s="39">
        <f>C8/$C$10</f>
        <v>0.96900105331903408</v>
      </c>
      <c r="E8" s="38">
        <f>ROUND($C$6*D8,0)</f>
        <v>500964</v>
      </c>
    </row>
    <row r="9" spans="1:5" x14ac:dyDescent="0.3">
      <c r="A9" s="37" t="s">
        <v>65</v>
      </c>
      <c r="B9" t="s">
        <v>66</v>
      </c>
      <c r="C9" s="38">
        <v>121931.99</v>
      </c>
      <c r="D9" s="39">
        <f>C9/$C$10</f>
        <v>3.0998946680965828E-2</v>
      </c>
      <c r="E9" s="38">
        <f>ROUND($C$6*D9,0)</f>
        <v>16026</v>
      </c>
    </row>
    <row r="10" spans="1:5" x14ac:dyDescent="0.3">
      <c r="C10" s="40">
        <f>SUM(C8:C9)</f>
        <v>3933423.6500000004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40B65-8A4C-4E9D-B7D6-0A0058FE36A4}">
  <dimension ref="A1:J16"/>
  <sheetViews>
    <sheetView workbookViewId="0">
      <selection activeCell="E17" sqref="E17"/>
    </sheetView>
  </sheetViews>
  <sheetFormatPr defaultColWidth="8.8984375" defaultRowHeight="14.4" x14ac:dyDescent="0.3"/>
  <cols>
    <col min="1" max="1" width="8.8984375" style="2"/>
    <col min="2" max="2" width="21.8984375" style="2" bestFit="1" customWidth="1"/>
    <col min="3" max="4" width="14.09765625" style="2" bestFit="1" customWidth="1"/>
    <col min="5" max="5" width="15.09765625" style="2" bestFit="1" customWidth="1"/>
    <col min="6" max="7" width="8.8984375" style="2"/>
    <col min="8" max="8" width="33.69921875" style="2" bestFit="1" customWidth="1"/>
    <col min="9" max="9" width="8.8984375" style="2"/>
    <col min="10" max="10" width="14.796875" style="2" bestFit="1" customWidth="1"/>
    <col min="11" max="16384" width="8.8984375" style="2"/>
  </cols>
  <sheetData>
    <row r="1" spans="1:10" x14ac:dyDescent="0.3">
      <c r="A1" s="1" t="s">
        <v>0</v>
      </c>
    </row>
    <row r="2" spans="1:10" x14ac:dyDescent="0.3">
      <c r="A2" s="1" t="s">
        <v>68</v>
      </c>
    </row>
    <row r="3" spans="1:10" x14ac:dyDescent="0.3">
      <c r="A3" s="1" t="s">
        <v>2</v>
      </c>
    </row>
    <row r="4" spans="1:10" x14ac:dyDescent="0.3">
      <c r="C4" s="2" t="s">
        <v>11</v>
      </c>
      <c r="D4" s="2" t="s">
        <v>69</v>
      </c>
      <c r="E4" s="2" t="s">
        <v>70</v>
      </c>
      <c r="H4" s="41"/>
      <c r="I4" s="41"/>
      <c r="J4" s="41"/>
    </row>
    <row r="5" spans="1:10" x14ac:dyDescent="0.3">
      <c r="B5" s="42" t="s">
        <v>71</v>
      </c>
      <c r="C5" s="42">
        <v>7836000</v>
      </c>
      <c r="D5" s="43">
        <f>C5-E5</f>
        <v>1800000</v>
      </c>
      <c r="E5" s="44">
        <v>6036000</v>
      </c>
      <c r="H5" s="41" t="s">
        <v>72</v>
      </c>
      <c r="I5" s="41"/>
      <c r="J5" s="45">
        <v>1724866.51</v>
      </c>
    </row>
    <row r="6" spans="1:10" x14ac:dyDescent="0.3">
      <c r="B6" s="42" t="s">
        <v>73</v>
      </c>
      <c r="C6" s="42">
        <v>4837000</v>
      </c>
      <c r="D6" s="43">
        <f>C6-E6</f>
        <v>900000</v>
      </c>
      <c r="E6" s="44">
        <v>3937000</v>
      </c>
      <c r="H6" s="41"/>
      <c r="I6" s="41"/>
      <c r="J6" s="41"/>
    </row>
    <row r="7" spans="1:10" x14ac:dyDescent="0.3">
      <c r="B7" s="42" t="s">
        <v>74</v>
      </c>
      <c r="C7" s="42">
        <v>4827000</v>
      </c>
      <c r="D7" s="43">
        <f>C7-E7</f>
        <v>900000</v>
      </c>
      <c r="E7" s="44">
        <v>3927000</v>
      </c>
      <c r="H7" s="41" t="s">
        <v>75</v>
      </c>
      <c r="I7" s="41"/>
      <c r="J7" s="46">
        <v>0</v>
      </c>
    </row>
    <row r="8" spans="1:10" x14ac:dyDescent="0.3">
      <c r="H8" s="41"/>
      <c r="I8" s="41"/>
      <c r="J8" s="41"/>
    </row>
    <row r="9" spans="1:10" x14ac:dyDescent="0.3">
      <c r="B9" s="42" t="s">
        <v>76</v>
      </c>
      <c r="E9" s="47">
        <v>-11172733.08</v>
      </c>
      <c r="H9" s="41" t="s">
        <v>77</v>
      </c>
      <c r="I9" s="41"/>
      <c r="J9" s="48">
        <f>-E12</f>
        <v>-3600000</v>
      </c>
    </row>
    <row r="10" spans="1:10" x14ac:dyDescent="0.3">
      <c r="B10" s="42" t="s">
        <v>78</v>
      </c>
      <c r="E10" s="44">
        <f>SUM(E5:E9)</f>
        <v>2727266.92</v>
      </c>
      <c r="H10" s="41"/>
      <c r="I10" s="41"/>
      <c r="J10" s="41"/>
    </row>
    <row r="11" spans="1:10" x14ac:dyDescent="0.3">
      <c r="B11" s="2" t="s">
        <v>79</v>
      </c>
      <c r="E11" s="44">
        <f>SUM(E5:E7)</f>
        <v>13900000</v>
      </c>
      <c r="H11" s="41" t="s">
        <v>80</v>
      </c>
      <c r="I11" s="41"/>
      <c r="J11" s="48">
        <f>SUM(J5:J9)</f>
        <v>-1875133.49</v>
      </c>
    </row>
    <row r="12" spans="1:10" x14ac:dyDescent="0.3">
      <c r="B12" s="2" t="s">
        <v>81</v>
      </c>
      <c r="E12" s="44">
        <f>SUM(D5:D7)</f>
        <v>3600000</v>
      </c>
      <c r="H12" s="41"/>
      <c r="I12" s="41"/>
      <c r="J12" s="41"/>
    </row>
    <row r="13" spans="1:10" x14ac:dyDescent="0.3">
      <c r="H13" s="41"/>
      <c r="I13" s="41"/>
      <c r="J13" s="41"/>
    </row>
    <row r="14" spans="1:10" x14ac:dyDescent="0.3">
      <c r="H14" s="41" t="s">
        <v>82</v>
      </c>
      <c r="I14" s="41"/>
      <c r="J14" s="46">
        <v>3024078.7099999962</v>
      </c>
    </row>
    <row r="15" spans="1:10" x14ac:dyDescent="0.3">
      <c r="H15" s="41"/>
      <c r="I15" s="41"/>
      <c r="J15" s="41"/>
    </row>
    <row r="16" spans="1:10" x14ac:dyDescent="0.3">
      <c r="H16" s="41"/>
      <c r="I16" s="41"/>
      <c r="J16" s="48">
        <f>J11-J14</f>
        <v>-4899212.1999999965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2BCD83-DDBA-4A73-B0C7-BA6CCC7F4AEC}"/>
</file>

<file path=customXml/itemProps2.xml><?xml version="1.0" encoding="utf-8"?>
<ds:datastoreItem xmlns:ds="http://schemas.openxmlformats.org/officeDocument/2006/customXml" ds:itemID="{4FD75D51-4A6D-40C9-8D23-44ABB962D7F4}"/>
</file>

<file path=customXml/itemProps3.xml><?xml version="1.0" encoding="utf-8"?>
<ds:datastoreItem xmlns:ds="http://schemas.openxmlformats.org/officeDocument/2006/customXml" ds:itemID="{20E79998-EA24-4E6E-99E7-7A9DEF8DA1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Acctg Svcs</vt:lpstr>
      <vt:lpstr>Equipment</vt:lpstr>
      <vt:lpstr>Alloc %</vt:lpstr>
      <vt:lpstr>Alloc Tax Ben</vt:lpstr>
      <vt:lpstr>Reconciliation</vt:lpstr>
      <vt:lpstr>DONAllow</vt:lpstr>
      <vt:lpstr>VarAllow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Progressive Provider Services</cp:lastModifiedBy>
  <dcterms:created xsi:type="dcterms:W3CDTF">2023-09-04T07:57:14Z</dcterms:created>
  <dcterms:modified xsi:type="dcterms:W3CDTF">2023-10-09T20:00:56Z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